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chartsheets/sheet2.xml" ContentType="application/vnd.openxmlformats-officedocument.spreadsheetml.chartsheet+xml"/>
  <Override PartName="/xl/worksheets/sheet3.xml" ContentType="application/vnd.openxmlformats-officedocument.spreadsheetml.worksheet+xml"/>
  <Override PartName="/xl/chartsheets/sheet3.xml" ContentType="application/vnd.openxmlformats-officedocument.spreadsheetml.chartsheet+xml"/>
  <Override PartName="/xl/worksheets/sheet4.xml" ContentType="application/vnd.openxmlformats-officedocument.spreadsheetml.worksheet+xml"/>
  <Override PartName="/xl/chartsheets/sheet4.xml" ContentType="application/vnd.openxmlformats-officedocument.spreadsheetml.chartsheet+xml"/>
  <Override PartName="/xl/worksheets/sheet5.xml" ContentType="application/vnd.openxmlformats-officedocument.spreadsheetml.worksheet+xml"/>
  <Override PartName="/xl/chartsheets/sheet5.xml" ContentType="application/vnd.openxmlformats-officedocument.spreadsheetml.chartsheet+xml"/>
  <Override PartName="/xl/worksheets/sheet6.xml" ContentType="application/vnd.openxmlformats-officedocument.spreadsheetml.worksheet+xml"/>
  <Override PartName="/xl/chartsheets/sheet6.xml" ContentType="application/vnd.openxmlformats-officedocument.spreadsheetml.chartsheet+xml"/>
  <Override PartName="/xl/worksheets/sheet7.xml" ContentType="application/vnd.openxmlformats-officedocument.spreadsheetml.worksheet+xml"/>
  <Override PartName="/xl/chartsheets/sheet7.xml" ContentType="application/vnd.openxmlformats-officedocument.spreadsheetml.chartsheet+xml"/>
  <Override PartName="/xl/worksheets/sheet8.xml" ContentType="application/vnd.openxmlformats-officedocument.spreadsheetml.worksheet+xml"/>
  <Override PartName="/xl/chartsheets/sheet8.xml" ContentType="application/vnd.openxmlformats-officedocument.spreadsheetml.chartsheet+xml"/>
  <Override PartName="/xl/worksheets/sheet9.xml" ContentType="application/vnd.openxmlformats-officedocument.spreadsheetml.worksheet+xml"/>
  <Override PartName="/xl/chartsheets/sheet9.xml" ContentType="application/vnd.openxmlformats-officedocument.spreadsheetml.chartsheet+xml"/>
  <Override PartName="/xl/worksheets/sheet10.xml" ContentType="application/vnd.openxmlformats-officedocument.spreadsheetml.worksheet+xml"/>
  <Override PartName="/xl/chartsheets/sheet10.xml" ContentType="application/vnd.openxmlformats-officedocument.spreadsheetml.chartsheet+xml"/>
  <Override PartName="/xl/worksheets/sheet11.xml" ContentType="application/vnd.openxmlformats-officedocument.spreadsheetml.worksheet+xml"/>
  <Override PartName="/xl/chartsheets/sheet11.xml" ContentType="application/vnd.openxmlformats-officedocument.spreadsheetml.chartsheet+xml"/>
  <Override PartName="/xl/worksheets/sheet12.xml" ContentType="application/vnd.openxmlformats-officedocument.spreadsheetml.worksheet+xml"/>
  <Override PartName="/xl/chartsheets/sheet12.xml" ContentType="application/vnd.openxmlformats-officedocument.spreadsheetml.chartsheet+xml"/>
  <Override PartName="/xl/worksheets/sheet13.xml" ContentType="application/vnd.openxmlformats-officedocument.spreadsheetml.worksheet+xml"/>
  <Override PartName="/xl/chartsheets/sheet13.xml" ContentType="application/vnd.openxmlformats-officedocument.spreadsheetml.chartsheet+xml"/>
  <Override PartName="/xl/worksheets/sheet14.xml" ContentType="application/vnd.openxmlformats-officedocument.spreadsheetml.worksheet+xml"/>
  <Override PartName="/xl/chartsheets/sheet14.xml" ContentType="application/vnd.openxmlformats-officedocument.spreadsheetml.chartsheet+xml"/>
  <Override PartName="/xl/worksheets/sheet15.xml" ContentType="application/vnd.openxmlformats-officedocument.spreadsheetml.worksheet+xml"/>
  <Override PartName="/xl/chartsheets/sheet15.xml" ContentType="application/vnd.openxmlformats-officedocument.spreadsheetml.chartsheet+xml"/>
  <Override PartName="/xl/worksheets/sheet16.xml" ContentType="application/vnd.openxmlformats-officedocument.spreadsheetml.worksheet+xml"/>
  <Override PartName="/xl/chartsheets/sheet16.xml" ContentType="application/vnd.openxmlformats-officedocument.spreadsheetml.chartsheet+xml"/>
  <Override PartName="/xl/worksheets/sheet17.xml" ContentType="application/vnd.openxmlformats-officedocument.spreadsheetml.worksheet+xml"/>
  <Override PartName="/xl/chartsheets/sheet17.xml" ContentType="application/vnd.openxmlformats-officedocument.spreadsheetml.chartsheet+xml"/>
  <Override PartName="/xl/worksheets/sheet18.xml" ContentType="application/vnd.openxmlformats-officedocument.spreadsheetml.worksheet+xml"/>
  <Override PartName="/xl/chartsheets/sheet18.xml" ContentType="application/vnd.openxmlformats-officedocument.spreadsheetml.chartsheet+xml"/>
  <Override PartName="/xl/worksheets/sheet19.xml" ContentType="application/vnd.openxmlformats-officedocument.spreadsheetml.worksheet+xml"/>
  <Override PartName="/xl/chartsheets/sheet19.xml" ContentType="application/vnd.openxmlformats-officedocument.spreadsheetml.chartsheet+xml"/>
  <Override PartName="/xl/worksheets/sheet20.xml" ContentType="application/vnd.openxmlformats-officedocument.spreadsheetml.worksheet+xml"/>
  <Override PartName="/xl/chartsheets/sheet20.xml" ContentType="application/vnd.openxmlformats-officedocument.spreadsheetml.chartsheet+xml"/>
  <Override PartName="/xl/worksheets/sheet21.xml" ContentType="application/vnd.openxmlformats-officedocument.spreadsheetml.worksheet+xml"/>
  <Override PartName="/xl/chartsheets/sheet21.xml" ContentType="application/vnd.openxmlformats-officedocument.spreadsheetml.chartsheet+xml"/>
  <Override PartName="/xl/worksheets/sheet22.xml" ContentType="application/vnd.openxmlformats-officedocument.spreadsheetml.worksheet+xml"/>
  <Override PartName="/xl/chartsheets/sheet22.xml" ContentType="application/vnd.openxmlformats-officedocument.spreadsheetml.chartsheet+xml"/>
  <Override PartName="/xl/worksheets/sheet23.xml" ContentType="application/vnd.openxmlformats-officedocument.spreadsheetml.worksheet+xml"/>
  <Override PartName="/xl/chartsheets/sheet23.xml" ContentType="application/vnd.openxmlformats-officedocument.spreadsheetml.chartsheet+xml"/>
  <Override PartName="/xl/worksheets/sheet24.xml" ContentType="application/vnd.openxmlformats-officedocument.spreadsheetml.worksheet+xml"/>
  <Override PartName="/xl/chartsheets/sheet24.xml" ContentType="application/vnd.openxmlformats-officedocument.spreadsheetml.chartsheet+xml"/>
  <Override PartName="/xl/worksheets/sheet25.xml" ContentType="application/vnd.openxmlformats-officedocument.spreadsheetml.worksheet+xml"/>
  <Override PartName="/xl/chartsheets/sheet25.xml" ContentType="application/vnd.openxmlformats-officedocument.spreadsheetml.chartsheet+xml"/>
  <Override PartName="/xl/worksheets/sheet26.xml" ContentType="application/vnd.openxmlformats-officedocument.spreadsheetml.worksheet+xml"/>
  <Override PartName="/xl/chartsheets/sheet26.xml" ContentType="application/vnd.openxmlformats-officedocument.spreadsheetml.chartsheet+xml"/>
  <Override PartName="/xl/worksheets/sheet27.xml" ContentType="application/vnd.openxmlformats-officedocument.spreadsheetml.worksheet+xml"/>
  <Override PartName="/xl/chartsheets/sheet27.xml" ContentType="application/vnd.openxmlformats-officedocument.spreadsheetml.chartsheet+xml"/>
  <Override PartName="/xl/worksheets/sheet28.xml" ContentType="application/vnd.openxmlformats-officedocument.spreadsheetml.worksheet+xml"/>
  <Override PartName="/xl/chartsheets/sheet28.xml" ContentType="application/vnd.openxmlformats-officedocument.spreadsheetml.chartsheet+xml"/>
  <Override PartName="/xl/worksheets/sheet29.xml" ContentType="application/vnd.openxmlformats-officedocument.spreadsheetml.worksheet+xml"/>
  <Override PartName="/xl/chartsheets/sheet29.xml" ContentType="application/vnd.openxmlformats-officedocument.spreadsheetml.chartsheet+xml"/>
  <Override PartName="/xl/worksheets/sheet30.xml" ContentType="application/vnd.openxmlformats-officedocument.spreadsheetml.worksheet+xml"/>
  <Override PartName="/xl/chartsheets/sheet30.xml" ContentType="application/vnd.openxmlformats-officedocument.spreadsheetml.chartsheet+xml"/>
  <Override PartName="/xl/worksheets/sheet31.xml" ContentType="application/vnd.openxmlformats-officedocument.spreadsheetml.worksheet+xml"/>
  <Override PartName="/xl/chartsheets/sheet31.xml" ContentType="application/vnd.openxmlformats-officedocument.spreadsheetml.chartsheet+xml"/>
  <Override PartName="/xl/worksheets/sheet32.xml" ContentType="application/vnd.openxmlformats-officedocument.spreadsheetml.worksheet+xml"/>
  <Override PartName="/xl/chartsheets/sheet32.xml" ContentType="application/vnd.openxmlformats-officedocument.spreadsheetml.chartsheet+xml"/>
  <Override PartName="/xl/worksheets/sheet33.xml" ContentType="application/vnd.openxmlformats-officedocument.spreadsheetml.worksheet+xml"/>
  <Override PartName="/xl/chartsheets/sheet33.xml" ContentType="application/vnd.openxmlformats-officedocument.spreadsheetml.chart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9.xml" ContentType="application/vnd.openxmlformats-officedocument.themeOverrid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0.xml" ContentType="application/vnd.openxmlformats-officedocument.themeOverrid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1.xml" ContentType="application/vnd.openxmlformats-officedocument.themeOverrid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12.xml" ContentType="application/vnd.openxmlformats-officedocument.themeOverrid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3.xml" ContentType="application/vnd.openxmlformats-officedocument.themeOverrid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14.xml" ContentType="application/vnd.openxmlformats-officedocument.themeOverrid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15.xml" ContentType="application/vnd.openxmlformats-officedocument.themeOverride+xml"/>
  <Override PartName="/xl/drawings/drawing1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16.xml" ContentType="application/vnd.openxmlformats-officedocument.themeOverride+xml"/>
  <Override PartName="/xl/drawings/drawing17.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17.xml" ContentType="application/vnd.openxmlformats-officedocument.themeOverride+xml"/>
  <Override PartName="/xl/drawings/drawing18.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18.xml" ContentType="application/vnd.openxmlformats-officedocument.themeOverride+xml"/>
  <Override PartName="/xl/drawings/drawing19.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19.xml" ContentType="application/vnd.openxmlformats-officedocument.themeOverride+xml"/>
  <Override PartName="/xl/drawings/drawing20.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20.xml" ContentType="application/vnd.openxmlformats-officedocument.themeOverride+xml"/>
  <Override PartName="/xl/drawings/drawing21.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theme/themeOverride21.xml" ContentType="application/vnd.openxmlformats-officedocument.themeOverride+xml"/>
  <Override PartName="/xl/drawings/drawing22.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theme/themeOverride22.xml" ContentType="application/vnd.openxmlformats-officedocument.themeOverride+xml"/>
  <Override PartName="/xl/drawings/drawing23.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theme/themeOverride23.xml" ContentType="application/vnd.openxmlformats-officedocument.themeOverride+xml"/>
  <Override PartName="/xl/drawings/drawing24.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theme/themeOverride24.xml" ContentType="application/vnd.openxmlformats-officedocument.themeOverride+xml"/>
  <Override PartName="/xl/drawings/drawing25.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theme/themeOverride25.xml" ContentType="application/vnd.openxmlformats-officedocument.themeOverride+xml"/>
  <Override PartName="/xl/drawings/drawing26.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theme/themeOverride26.xml" ContentType="application/vnd.openxmlformats-officedocument.themeOverride+xml"/>
  <Override PartName="/xl/drawings/drawing27.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theme/themeOverride27.xml" ContentType="application/vnd.openxmlformats-officedocument.themeOverride+xml"/>
  <Override PartName="/xl/drawings/drawing28.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theme/themeOverride28.xml" ContentType="application/vnd.openxmlformats-officedocument.themeOverride+xml"/>
  <Override PartName="/xl/drawings/drawing29.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theme/themeOverride29.xml" ContentType="application/vnd.openxmlformats-officedocument.themeOverride+xml"/>
  <Override PartName="/xl/drawings/drawing30.xml" ContentType="application/vnd.openxmlformats-officedocument.drawing+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theme/themeOverride30.xml" ContentType="application/vnd.openxmlformats-officedocument.themeOverride+xml"/>
  <Override PartName="/xl/drawings/drawing31.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theme/themeOverride31.xml" ContentType="application/vnd.openxmlformats-officedocument.themeOverride+xml"/>
  <Override PartName="/xl/drawings/drawing32.xml" ContentType="application/vnd.openxmlformats-officedocument.drawing+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theme/themeOverride32.xml" ContentType="application/vnd.openxmlformats-officedocument.themeOverride+xml"/>
  <Override PartName="/xl/drawings/drawing33.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theme/themeOverride33.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2825" windowHeight="3045"/>
  </bookViews>
  <sheets>
    <sheet name="1." sheetId="32" r:id="rId1"/>
    <sheet name="D1." sheetId="66" r:id="rId2"/>
    <sheet name="2." sheetId="33" r:id="rId3"/>
    <sheet name="D2." sheetId="67" r:id="rId4"/>
    <sheet name="3." sheetId="3" r:id="rId5"/>
    <sheet name="D3." sheetId="68" r:id="rId6"/>
    <sheet name="4." sheetId="34" r:id="rId7"/>
    <sheet name="D4." sheetId="69" r:id="rId8"/>
    <sheet name="5." sheetId="65" r:id="rId9"/>
    <sheet name="D5." sheetId="70" r:id="rId10"/>
    <sheet name="6." sheetId="35" r:id="rId11"/>
    <sheet name="D6." sheetId="71" r:id="rId12"/>
    <sheet name="7." sheetId="36" r:id="rId13"/>
    <sheet name="D7." sheetId="103" r:id="rId14"/>
    <sheet name="8." sheetId="37" r:id="rId15"/>
    <sheet name="D8." sheetId="73" r:id="rId16"/>
    <sheet name="9." sheetId="38" r:id="rId17"/>
    <sheet name="D9." sheetId="74" r:id="rId18"/>
    <sheet name="10." sheetId="39" r:id="rId19"/>
    <sheet name="D10." sheetId="75" r:id="rId20"/>
    <sheet name="11." sheetId="63" r:id="rId21"/>
    <sheet name="D11." sheetId="76" r:id="rId22"/>
    <sheet name="12." sheetId="64" r:id="rId23"/>
    <sheet name="D12." sheetId="77" r:id="rId24"/>
    <sheet name="13." sheetId="40" r:id="rId25"/>
    <sheet name="D13." sheetId="99" r:id="rId26"/>
    <sheet name="14." sheetId="41" r:id="rId27"/>
    <sheet name="D14." sheetId="79" r:id="rId28"/>
    <sheet name="15." sheetId="42" r:id="rId29"/>
    <sheet name="D15." sheetId="80" r:id="rId30"/>
    <sheet name="16." sheetId="43" r:id="rId31"/>
    <sheet name="D16." sheetId="81" r:id="rId32"/>
    <sheet name="17." sheetId="44" r:id="rId33"/>
    <sheet name="D17." sheetId="82" r:id="rId34"/>
    <sheet name="18." sheetId="45" r:id="rId35"/>
    <sheet name="D18." sheetId="83" r:id="rId36"/>
    <sheet name="19." sheetId="46" r:id="rId37"/>
    <sheet name="D19." sheetId="84" r:id="rId38"/>
    <sheet name="20." sheetId="47" r:id="rId39"/>
    <sheet name="D20." sheetId="85" r:id="rId40"/>
    <sheet name="21." sheetId="48" r:id="rId41"/>
    <sheet name="D21." sheetId="86" r:id="rId42"/>
    <sheet name="22." sheetId="49" r:id="rId43"/>
    <sheet name="D22." sheetId="87" r:id="rId44"/>
    <sheet name="23." sheetId="50" r:id="rId45"/>
    <sheet name="D23." sheetId="88" r:id="rId46"/>
    <sheet name="24." sheetId="51" r:id="rId47"/>
    <sheet name="D24." sheetId="89" r:id="rId48"/>
    <sheet name="25." sheetId="52" r:id="rId49"/>
    <sheet name="D25." sheetId="90" r:id="rId50"/>
    <sheet name="26." sheetId="53" r:id="rId51"/>
    <sheet name="D26." sheetId="91" r:id="rId52"/>
    <sheet name="27." sheetId="54" r:id="rId53"/>
    <sheet name="D27." sheetId="92" r:id="rId54"/>
    <sheet name="28." sheetId="57" r:id="rId55"/>
    <sheet name="D28." sheetId="93" r:id="rId56"/>
    <sheet name="29." sheetId="55" r:id="rId57"/>
    <sheet name="D29." sheetId="94" r:id="rId58"/>
    <sheet name="30." sheetId="56" r:id="rId59"/>
    <sheet name="D30." sheetId="95" r:id="rId60"/>
    <sheet name="31." sheetId="58" r:id="rId61"/>
    <sheet name="D31." sheetId="96" r:id="rId62"/>
    <sheet name="32." sheetId="59" r:id="rId63"/>
    <sheet name="D32." sheetId="97" r:id="rId64"/>
    <sheet name="33." sheetId="60" r:id="rId65"/>
    <sheet name="D33." sheetId="98" r:id="rId66"/>
  </sheets>
  <externalReferences>
    <externalReference r:id="rId67"/>
  </externalReference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SheetType">[1]Start!$T$6:$T$16</definedName>
    <definedName name="snl__8C020A66_CB52_4FC8_BE39_19E5570A9867_" localSheetId="54" hidden="1">'28.'!$F$4,'28.'!$F$7:$G$72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9" i="34" l="1"/>
  <c r="B17" i="63" l="1"/>
  <c r="C13" i="33" l="1"/>
  <c r="B29" i="59"/>
  <c r="D29" i="59"/>
  <c r="C29" i="59"/>
  <c r="C29" i="56"/>
  <c r="D29" i="56"/>
  <c r="B29" i="56"/>
  <c r="E29" i="56"/>
  <c r="B29" i="53"/>
  <c r="D29" i="53"/>
  <c r="C29" i="53"/>
  <c r="E29" i="50"/>
  <c r="D29" i="50"/>
  <c r="B29" i="50" s="1"/>
  <c r="C29" i="50"/>
  <c r="E29" i="47"/>
  <c r="D29" i="47"/>
  <c r="B29" i="47" s="1"/>
  <c r="C29" i="47"/>
  <c r="E29" i="44"/>
  <c r="B29" i="44"/>
  <c r="C29" i="44"/>
  <c r="D29" i="44"/>
  <c r="B29" i="34" l="1"/>
  <c r="D29" i="34"/>
  <c r="E29" i="34"/>
  <c r="F29" i="34"/>
  <c r="E29" i="3"/>
  <c r="B29" i="3"/>
  <c r="C29" i="3"/>
  <c r="D29" i="3"/>
  <c r="C29" i="60" l="1"/>
  <c r="B29" i="60"/>
  <c r="B29" i="55"/>
  <c r="B29" i="57"/>
  <c r="C29" i="54"/>
  <c r="B29" i="54"/>
  <c r="C29" i="51"/>
  <c r="B29" i="51"/>
  <c r="C29" i="48"/>
  <c r="B29" i="48"/>
  <c r="C29" i="46"/>
  <c r="B29" i="46"/>
  <c r="B29" i="45"/>
  <c r="B29" i="43"/>
  <c r="C29" i="42"/>
  <c r="D28" i="40" l="1"/>
  <c r="C29" i="39" l="1"/>
  <c r="B29" i="39"/>
  <c r="B29" i="35"/>
  <c r="D29" i="35"/>
  <c r="C29" i="35"/>
  <c r="B28" i="59" l="1"/>
  <c r="B28" i="56"/>
  <c r="B28" i="50"/>
  <c r="B28" i="47"/>
  <c r="B28" i="44"/>
  <c r="C28" i="34"/>
  <c r="B28" i="34"/>
  <c r="B28" i="3"/>
  <c r="C28" i="46" l="1"/>
  <c r="B28" i="46"/>
  <c r="B28" i="55" l="1"/>
  <c r="B28" i="57"/>
  <c r="C28" i="54"/>
  <c r="B28" i="54"/>
  <c r="B28" i="51"/>
  <c r="C28" i="51"/>
  <c r="C28" i="48"/>
  <c r="B28" i="48"/>
  <c r="B28" i="45"/>
  <c r="B28" i="43"/>
  <c r="C28" i="42"/>
  <c r="C28" i="39"/>
  <c r="B28" i="39"/>
  <c r="B28" i="35"/>
  <c r="D28" i="35"/>
  <c r="C28" i="35"/>
  <c r="B27" i="35" l="1"/>
  <c r="B26" i="35"/>
  <c r="B26" i="34" l="1"/>
  <c r="B27" i="34"/>
  <c r="B26" i="3"/>
  <c r="B27" i="3"/>
  <c r="B26" i="50"/>
  <c r="B27" i="50"/>
  <c r="B26" i="56" l="1"/>
  <c r="B27" i="56"/>
  <c r="B26" i="47" l="1"/>
  <c r="B27" i="47"/>
  <c r="B26" i="44" l="1"/>
  <c r="B27" i="44"/>
  <c r="B25" i="34" l="1"/>
  <c r="B9" i="34"/>
  <c r="B10" i="34"/>
  <c r="B11" i="34"/>
  <c r="B12" i="34"/>
  <c r="B13" i="34"/>
  <c r="B14" i="34"/>
  <c r="B15" i="34"/>
  <c r="B16" i="34"/>
  <c r="B17" i="34"/>
  <c r="B18" i="34"/>
  <c r="B19" i="34"/>
  <c r="B20" i="34"/>
  <c r="B21" i="34"/>
  <c r="B22" i="34"/>
  <c r="B23" i="34"/>
  <c r="B24" i="34"/>
  <c r="B8" i="34"/>
  <c r="B10" i="3"/>
  <c r="B9" i="56" l="1"/>
  <c r="B10" i="56"/>
  <c r="B11" i="56"/>
  <c r="B12" i="56"/>
  <c r="B13" i="56"/>
  <c r="B14" i="56"/>
  <c r="B15" i="56"/>
  <c r="B16" i="56"/>
  <c r="B17" i="56"/>
  <c r="B18" i="56"/>
  <c r="B19" i="56"/>
  <c r="B20" i="56"/>
  <c r="B21" i="56"/>
  <c r="B22" i="56"/>
  <c r="B23" i="56"/>
  <c r="B24" i="56"/>
  <c r="B25" i="56"/>
  <c r="B8" i="56"/>
  <c r="B9" i="50" l="1"/>
  <c r="B10" i="50"/>
  <c r="B11" i="50"/>
  <c r="B12" i="50"/>
  <c r="B13" i="50"/>
  <c r="B14" i="50"/>
  <c r="B15" i="50"/>
  <c r="B16" i="50"/>
  <c r="B17" i="50"/>
  <c r="B18" i="50"/>
  <c r="B19" i="50"/>
  <c r="B20" i="50"/>
  <c r="B21" i="50"/>
  <c r="B22" i="50"/>
  <c r="B23" i="50"/>
  <c r="B24" i="50"/>
  <c r="B25" i="50"/>
  <c r="B8" i="50"/>
  <c r="B9" i="47"/>
  <c r="B10" i="47"/>
  <c r="B11" i="47"/>
  <c r="B12" i="47"/>
  <c r="B13" i="47"/>
  <c r="B14" i="47"/>
  <c r="B15" i="47"/>
  <c r="B16" i="47"/>
  <c r="B17" i="47"/>
  <c r="B18" i="47"/>
  <c r="B19" i="47"/>
  <c r="B20" i="47"/>
  <c r="B21" i="47"/>
  <c r="B22" i="47"/>
  <c r="B23" i="47"/>
  <c r="B24" i="47"/>
  <c r="B25" i="47"/>
  <c r="B8" i="47"/>
  <c r="B9" i="44"/>
  <c r="B10" i="44"/>
  <c r="B11" i="44"/>
  <c r="B12" i="44"/>
  <c r="B13" i="44"/>
  <c r="B14" i="44"/>
  <c r="B15" i="44"/>
  <c r="B16" i="44"/>
  <c r="B17" i="44"/>
  <c r="B18" i="44"/>
  <c r="B19" i="44"/>
  <c r="B20" i="44"/>
  <c r="B21" i="44"/>
  <c r="B22" i="44"/>
  <c r="B23" i="44"/>
  <c r="B24" i="44"/>
  <c r="B25" i="44"/>
  <c r="B8" i="44"/>
  <c r="B9" i="3"/>
  <c r="B11" i="3"/>
  <c r="B12" i="3"/>
  <c r="B13" i="3"/>
  <c r="B14" i="3"/>
  <c r="B15" i="3"/>
  <c r="B16" i="3"/>
  <c r="B17" i="3"/>
  <c r="B18" i="3"/>
  <c r="B19" i="3"/>
  <c r="B20" i="3"/>
  <c r="B21" i="3"/>
  <c r="B22" i="3"/>
  <c r="B23" i="3"/>
  <c r="B24" i="3"/>
  <c r="B25" i="3"/>
  <c r="B8" i="3"/>
  <c r="B9" i="35" l="1"/>
  <c r="B10" i="35"/>
  <c r="B11" i="35"/>
  <c r="B12" i="35"/>
  <c r="B13" i="35"/>
  <c r="B14" i="35"/>
  <c r="B15" i="35"/>
  <c r="B16" i="35"/>
  <c r="B17" i="35"/>
  <c r="B18" i="35"/>
  <c r="B19" i="35"/>
  <c r="B20" i="35"/>
  <c r="B21" i="35"/>
  <c r="B22" i="35"/>
  <c r="B23" i="35"/>
  <c r="B24" i="35"/>
  <c r="B25" i="35"/>
  <c r="B8" i="35"/>
  <c r="C15" i="33" l="1"/>
  <c r="C9" i="32"/>
  <c r="C14" i="33" l="1"/>
  <c r="C8" i="33"/>
  <c r="C10" i="33"/>
  <c r="C11" i="33"/>
  <c r="C12" i="33"/>
  <c r="C9" i="33"/>
  <c r="C12" i="32"/>
  <c r="C11" i="32"/>
  <c r="C16" i="32"/>
  <c r="C15" i="32"/>
  <c r="C14" i="32"/>
  <c r="C13" i="32"/>
  <c r="C10" i="32"/>
  <c r="C8" i="32"/>
</calcChain>
</file>

<file path=xl/sharedStrings.xml><?xml version="1.0" encoding="utf-8"?>
<sst xmlns="http://schemas.openxmlformats.org/spreadsheetml/2006/main" count="365" uniqueCount="117">
  <si>
    <t>Rubrik:</t>
  </si>
  <si>
    <t>Enhet:</t>
  </si>
  <si>
    <t>Källor:</t>
  </si>
  <si>
    <t>Anm.</t>
  </si>
  <si>
    <t>Procent</t>
  </si>
  <si>
    <t>Svenska storbanker</t>
  </si>
  <si>
    <t>Nordiska storbanker</t>
  </si>
  <si>
    <t>EU-banker</t>
  </si>
  <si>
    <t>Storbanker</t>
  </si>
  <si>
    <t>FI.</t>
  </si>
  <si>
    <t>Utlåning i Sverige</t>
  </si>
  <si>
    <t>Andel</t>
  </si>
  <si>
    <t>Retailbanker</t>
  </si>
  <si>
    <t>Sparbanker</t>
  </si>
  <si>
    <t>Total</t>
  </si>
  <si>
    <t>Utlåning gruppnivå</t>
  </si>
  <si>
    <t>Miljarder kronor</t>
  </si>
  <si>
    <t>Hushåll - Bolån</t>
  </si>
  <si>
    <t>Företag</t>
  </si>
  <si>
    <t>Hushåll  - Övrigt</t>
  </si>
  <si>
    <t>BNP</t>
  </si>
  <si>
    <t>Hushåll - Övrigt</t>
  </si>
  <si>
    <t>FI och SCB.</t>
  </si>
  <si>
    <t>Enbart svenska banker på gruppnivå.</t>
  </si>
  <si>
    <t>Marknadsupplåning</t>
  </si>
  <si>
    <t>Inlåning</t>
  </si>
  <si>
    <t>Inkluderar även utländska bankers filialer och dotterbolag.</t>
  </si>
  <si>
    <t>Räntenettomarginal</t>
  </si>
  <si>
    <t>Andel problemlån</t>
  </si>
  <si>
    <t>Index</t>
  </si>
  <si>
    <t>Intäkter</t>
  </si>
  <si>
    <t>Avser all utlåning på gruppnivå.</t>
  </si>
  <si>
    <t>Totalt</t>
  </si>
  <si>
    <t>Nedgången i utlåning under 2015 berodde på att Skandiabanken sålde av sin verksamhet i Norge.</t>
  </si>
  <si>
    <t>Provisionsnetto</t>
  </si>
  <si>
    <t>Avkastning på eget kapital</t>
  </si>
  <si>
    <t>Diagram 11: De nya bolåneaktörernas totala utlåningsvolymer</t>
  </si>
  <si>
    <t>Svenska storbanker, glidande medelvärde</t>
  </si>
  <si>
    <t>Avkastning på eget kapital, glidande medelvärde</t>
  </si>
  <si>
    <t>Kostnader</t>
  </si>
  <si>
    <t>Utländska banker 19 %</t>
  </si>
  <si>
    <t>K/I-kvot, glidande medelvärde</t>
  </si>
  <si>
    <t>K/I kvot</t>
  </si>
  <si>
    <t>Avser total global utlåning till allmänheten.</t>
  </si>
  <si>
    <t>Diagram 3: Svenska bankers totala utlåning till allmänheten</t>
  </si>
  <si>
    <t>Diagram 1: Utlåning till allmänheten i Sverige</t>
  </si>
  <si>
    <t>Diagram 4: Utlåning till allmänheten i Sverige</t>
  </si>
  <si>
    <t>Leasing 0,8 %</t>
  </si>
  <si>
    <t>Total utlåning</t>
  </si>
  <si>
    <t>Bostadskreditinstitut</t>
  </si>
  <si>
    <t>Utländska banker</t>
  </si>
  <si>
    <t>Säkerställda obligationer i SEK</t>
  </si>
  <si>
    <t>Svenska bolån</t>
  </si>
  <si>
    <t>Diagram 33: Räntenettomarginal och andel problemlån</t>
  </si>
  <si>
    <t>Diagram 32: Utlåning</t>
  </si>
  <si>
    <t>Diagram 31: Avkastning på eget kapital</t>
  </si>
  <si>
    <t>Diagram 30: Utlåning</t>
  </si>
  <si>
    <t>Diagram 29: Avkastning på eget kapital</t>
  </si>
  <si>
    <t>Diagram 27: Räntenettomarginal och andel problemlån</t>
  </si>
  <si>
    <t>Diagram 26: Utlåning</t>
  </si>
  <si>
    <t>Diagram 25: Avkastning på eget kapital</t>
  </si>
  <si>
    <t>Diagram 24: Räntenettomarginal och andel problemlån</t>
  </si>
  <si>
    <t>Diagram 23: Utlåning</t>
  </si>
  <si>
    <t>Diagram 22: Avkastning på eget kapital</t>
  </si>
  <si>
    <t>Diagram 21: Räntenettomarginal och andel problemlån</t>
  </si>
  <si>
    <t>FI och Standard &amp; Poor’s.</t>
  </si>
  <si>
    <t>Diagram 20: Utlåning</t>
  </si>
  <si>
    <t>Diagram 19: Avkastning på eget kapital</t>
  </si>
  <si>
    <t>FI, Standard &amp; Poor’s och EBA.</t>
  </si>
  <si>
    <t>Diagram 18: Andel problemlån</t>
  </si>
  <si>
    <t>Diagram 17: Storbankernas totala utlåning till allmänheten</t>
  </si>
  <si>
    <t>Diagram 16: Räntenettomarginal</t>
  </si>
  <si>
    <t>Diagram 15: Intäkter och kostnader för svenska storbanker</t>
  </si>
  <si>
    <t>Diagram 14: K/I-kvot</t>
  </si>
  <si>
    <t>Diagram 13: Avkastning på eget kapital</t>
  </si>
  <si>
    <t>Diagram 12: Antal betaltjänstföretag och deras totala betalningsvolymer</t>
  </si>
  <si>
    <t>Avser halvårsvisa volymer. Inrapportering av betalningsvolymer kan skilja sig mellan instituten.</t>
  </si>
  <si>
    <t>Diagram 10: Genomsnittlig räntenettomarginal och andel problemlån</t>
  </si>
  <si>
    <t>Kvoterna är viktade genom summering av samtliga institut.</t>
  </si>
  <si>
    <t>Diagram 9: Genomsnittlig K/I-kvot</t>
  </si>
  <si>
    <t>Diagram 8: Genomsnittlig avkastning på eget kapital</t>
  </si>
  <si>
    <t>Diagram 7: Utestående volymer av säkerställda obligationer emitterade i svenska kronor och svenska bolån</t>
  </si>
  <si>
    <t>Diagram 6: Bankernas finansiering i form av inlåning och marknadsupplåning</t>
  </si>
  <si>
    <t>Diagram 5: Svenska bolån - andel av nyutlåning</t>
  </si>
  <si>
    <t>Diagram 2: Fördelning av svenska bankers totala utlåning</t>
  </si>
  <si>
    <t>Kvoterna är viktade genom en summering av samtliga institut.</t>
  </si>
  <si>
    <t>Kvoterna är viktade genom en summering av samtliga institut</t>
  </si>
  <si>
    <t>Kvoten är viktad genom en summering av samtliga institut. Ett glidande medelvärde avser medelvärdet av de fyra senaste kvartalen. Den låga kvoten under det fjärde kvartalet 2018 beror till stor del på att Länsförsäkringar Bank gjorde nedskrivningar av immateriella tillgångar i samband med slutförande av it-projekt.</t>
  </si>
  <si>
    <t>Kvoten är viktad genom en summering av samtliga institut. Ett glidande medelvärde avser medelvärdet av de fyra senaste kvartalen. Den cykliska trenden beror på att många sparbanker får utdelningar från Swedbank under det första kvartalet varje år.</t>
  </si>
  <si>
    <t>Kvoten är viktad genom en summering av samtliga institut. Ett glidande medelvärde avser medelvärdet av de fyra senaste kvartalen.</t>
  </si>
  <si>
    <t>Kvoten är viktad genom en  summering av samtliga institut. Ett glidande medelvärde avser medelvärdet av de fyra senaste kvartalen.</t>
  </si>
  <si>
    <t>Leasing 0,5%</t>
  </si>
  <si>
    <t>Konsumtionskredit 3,2 %</t>
  </si>
  <si>
    <t>Storbanker  54 %</t>
  </si>
  <si>
    <t>Retailbanker 11 %</t>
  </si>
  <si>
    <t>Övriga 5,4 %</t>
  </si>
  <si>
    <t>Sparbanker 5,9 %</t>
  </si>
  <si>
    <t>VP-banker 0,8%</t>
  </si>
  <si>
    <t>Konsumtionskredit 2,1 %</t>
  </si>
  <si>
    <t>Retailbanker 13%</t>
  </si>
  <si>
    <t>Storbanker 71 %</t>
  </si>
  <si>
    <t>VP-banker 0,7 %</t>
  </si>
  <si>
    <t>Sparbanker 5,4 %</t>
  </si>
  <si>
    <t>Övriga 7,3 %</t>
  </si>
  <si>
    <t>Stockholmsbörsens omsättning</t>
  </si>
  <si>
    <t>Antal företag /vänster axel)</t>
  </si>
  <si>
    <t>Betalningsvolym (höger axel)</t>
  </si>
  <si>
    <t>Inkluderar även utländska bankers filialer och dotterbolag. Data per kvartal 2 2020</t>
  </si>
  <si>
    <t>Avser total global utlåning till allmänheten, även utanför Sverige. Data per kvartal 2 2020</t>
  </si>
  <si>
    <t>Avser respektive kategoris andel av nyutlåning under det senaste halvåret. Nyutlåning har beräknats som differensen i bolånestocken vid första halvåret 2020:s start och slut.</t>
  </si>
  <si>
    <t>Kvoterna är viktade genom summering av samtliga institut. Glidande medelvärde avser medelvärdet de fyra senaste kvartalen.</t>
  </si>
  <si>
    <t>Miljarder kronor (höger axel), antal (vänster axel)</t>
  </si>
  <si>
    <t>Kvoterna är viktade genom en summering av samtliga institut. Ett glidande medelvärde avser medelvärdet av de fyra senaste kvartalen. Swedbanks och SEB:s sanktionsavgifter är exkluderade.</t>
  </si>
  <si>
    <t>Stockholmsbörsens omsättning definieras som total aktieomsättning på Nasdaqs stockholmbörser per kvartal. Indexerad med första kvartalet 2015 som bas.</t>
  </si>
  <si>
    <t xml:space="preserve">Kvoten är viktad genom en summering av samtliga institut. Ett glidande medelvärde avser medelvärdet av de fyra senaste kvartalen. </t>
  </si>
  <si>
    <t>FI och Nasdaq</t>
  </si>
  <si>
    <t>Diagram 28: Provisionsnetto och Stockholmsbörsens omsättning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</si>
</sst>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0000"/>
    <numFmt numFmtId="167" formatCode="0.000"/>
    <numFmt numFmtId="168" formatCode="yyyy\-mm\-dd"/>
  </numFmts>
  <fonts count="12">
    <font>
      <sz val="11"/>
      <color theme="1"/>
      <name val="Calibri"/>
      <family val="2"/>
      <scheme val="minor"/>
    </font>
    <font>
      <b/>
      <sz val="11"/>
      <color theme="1"/>
      <name val="Calibri"/>
      <family val="2"/>
      <scheme val="minor"/>
    </font>
    <font>
      <b/>
      <sz val="10"/>
      <color theme="1"/>
      <name val="Arial"/>
      <family val="2"/>
    </font>
    <font>
      <sz val="11"/>
      <color rgb="FFFF0000"/>
      <name val="Calibri"/>
      <family val="2"/>
      <scheme val="minor"/>
    </font>
    <font>
      <sz val="11"/>
      <name val="Calibri"/>
      <family val="2"/>
      <scheme val="minor"/>
    </font>
    <font>
      <sz val="6"/>
      <color theme="1"/>
      <name val="Arial"/>
      <family val="2"/>
    </font>
    <font>
      <sz val="11"/>
      <color rgb="FF9C0006"/>
      <name val="Calibri"/>
      <family val="2"/>
      <scheme val="minor"/>
    </font>
    <font>
      <sz val="9"/>
      <name val="Gentle Sans"/>
    </font>
    <font>
      <sz val="10"/>
      <name val="Arial"/>
    </font>
    <font>
      <sz val="10"/>
      <name val="Arial"/>
      <family val="2"/>
    </font>
    <font>
      <u/>
      <sz val="10"/>
      <color theme="10"/>
      <name val="Arial"/>
      <family val="2"/>
    </font>
    <font>
      <sz val="10"/>
      <color rgb="FF000000"/>
      <name val="Arial"/>
      <family val="2"/>
    </font>
  </fonts>
  <fills count="4">
    <fill>
      <patternFill patternType="none"/>
    </fill>
    <fill>
      <patternFill patternType="gray125"/>
    </fill>
    <fill>
      <patternFill patternType="solid">
        <fgColor rgb="FFFFC7CE"/>
      </patternFill>
    </fill>
    <fill>
      <patternFill patternType="solid">
        <fgColor theme="0"/>
        <bgColor indexed="64"/>
      </patternFill>
    </fill>
  </fills>
  <borders count="2">
    <border>
      <left/>
      <right/>
      <top/>
      <bottom/>
      <diagonal/>
    </border>
    <border>
      <left/>
      <right/>
      <top/>
      <bottom style="thin">
        <color indexed="64"/>
      </bottom>
      <diagonal/>
    </border>
  </borders>
  <cellStyleXfs count="17">
    <xf numFmtId="0" fontId="0" fillId="0" borderId="0"/>
    <xf numFmtId="0" fontId="6" fillId="2" borderId="0" applyNumberFormat="0" applyBorder="0" applyAlignment="0" applyProtection="0"/>
    <xf numFmtId="0" fontId="7" fillId="0" borderId="0"/>
    <xf numFmtId="0" fontId="8" fillId="0" borderId="0"/>
    <xf numFmtId="0" fontId="10" fillId="0" borderId="0" applyNumberFormat="0" applyFill="0" applyBorder="0" applyAlignment="0" applyProtection="0">
      <alignment vertical="top"/>
      <protection locked="0"/>
    </xf>
    <xf numFmtId="0" fontId="11" fillId="0" borderId="0"/>
    <xf numFmtId="0" fontId="9" fillId="0" borderId="0"/>
    <xf numFmtId="0" fontId="9" fillId="0" borderId="0"/>
    <xf numFmtId="0" fontId="9" fillId="0" borderId="0"/>
    <xf numFmtId="0" fontId="9" fillId="0" borderId="0"/>
    <xf numFmtId="0" fontId="11" fillId="0" borderId="0"/>
    <xf numFmtId="0" fontId="11" fillId="0" borderId="0"/>
    <xf numFmtId="0" fontId="9" fillId="0" borderId="0"/>
    <xf numFmtId="0" fontId="9" fillId="0" borderId="0"/>
    <xf numFmtId="0" fontId="9" fillId="0" borderId="0"/>
    <xf numFmtId="0" fontId="9" fillId="0" borderId="0"/>
    <xf numFmtId="0" fontId="9" fillId="0" borderId="0"/>
  </cellStyleXfs>
  <cellXfs count="37">
    <xf numFmtId="0" fontId="0" fillId="0" borderId="0" xfId="0"/>
    <xf numFmtId="0" fontId="2" fillId="0" borderId="0" xfId="0" applyFont="1" applyAlignment="1">
      <alignment vertical="center"/>
    </xf>
    <xf numFmtId="17" fontId="0" fillId="0" borderId="0" xfId="0" applyNumberFormat="1"/>
    <xf numFmtId="0" fontId="0" fillId="0" borderId="1" xfId="0" applyBorder="1"/>
    <xf numFmtId="164" fontId="0" fillId="0" borderId="0" xfId="0" applyNumberFormat="1"/>
    <xf numFmtId="0" fontId="1" fillId="0" borderId="1" xfId="0" applyFont="1" applyBorder="1"/>
    <xf numFmtId="17" fontId="1" fillId="0" borderId="0" xfId="0" applyNumberFormat="1" applyFont="1"/>
    <xf numFmtId="165" fontId="0" fillId="0" borderId="0" xfId="0" applyNumberFormat="1"/>
    <xf numFmtId="0" fontId="1" fillId="0" borderId="1" xfId="0" applyFont="1" applyFill="1" applyBorder="1"/>
    <xf numFmtId="1" fontId="0" fillId="0" borderId="0" xfId="0" applyNumberFormat="1"/>
    <xf numFmtId="0" fontId="0" fillId="0" borderId="0" xfId="0" applyBorder="1"/>
    <xf numFmtId="0" fontId="1" fillId="0" borderId="0" xfId="0" applyFont="1" applyBorder="1"/>
    <xf numFmtId="3" fontId="0" fillId="0" borderId="0" xfId="0" applyNumberFormat="1"/>
    <xf numFmtId="0" fontId="0" fillId="0" borderId="0" xfId="0" applyNumberFormat="1"/>
    <xf numFmtId="0" fontId="3" fillId="0" borderId="0" xfId="0" applyNumberFormat="1" applyFont="1"/>
    <xf numFmtId="11" fontId="0" fillId="0" borderId="0" xfId="0" applyNumberFormat="1"/>
    <xf numFmtId="166" fontId="0" fillId="0" borderId="0" xfId="0" applyNumberFormat="1"/>
    <xf numFmtId="0" fontId="1" fillId="0" borderId="0" xfId="0" applyFont="1"/>
    <xf numFmtId="0" fontId="1" fillId="0" borderId="0" xfId="0" applyFont="1" applyFill="1" applyBorder="1"/>
    <xf numFmtId="14" fontId="0" fillId="0" borderId="0" xfId="0" applyNumberFormat="1"/>
    <xf numFmtId="3" fontId="4" fillId="0" borderId="0" xfId="0" applyNumberFormat="1" applyFont="1"/>
    <xf numFmtId="0" fontId="5" fillId="0" borderId="0" xfId="0" applyFont="1" applyAlignment="1">
      <alignment vertical="center"/>
    </xf>
    <xf numFmtId="0" fontId="6" fillId="0" borderId="0" xfId="1" applyFill="1" applyBorder="1"/>
    <xf numFmtId="0" fontId="6" fillId="0" borderId="0" xfId="1" applyFill="1"/>
    <xf numFmtId="3" fontId="6" fillId="0" borderId="0" xfId="1" applyNumberFormat="1" applyFill="1"/>
    <xf numFmtId="0" fontId="0" fillId="0" borderId="0" xfId="0" applyFill="1"/>
    <xf numFmtId="1" fontId="4" fillId="3" borderId="0" xfId="0" applyNumberFormat="1" applyFont="1" applyFill="1"/>
    <xf numFmtId="2" fontId="0" fillId="0" borderId="0" xfId="0" applyNumberFormat="1"/>
    <xf numFmtId="167" fontId="0" fillId="0" borderId="0" xfId="0" applyNumberFormat="1"/>
    <xf numFmtId="1" fontId="0" fillId="0" borderId="0" xfId="0" applyNumberFormat="1" applyAlignment="1">
      <alignment horizontal="right"/>
    </xf>
    <xf numFmtId="168" fontId="0" fillId="0" borderId="0" xfId="0" applyNumberFormat="1" applyAlignment="1">
      <alignment horizontal="right"/>
    </xf>
    <xf numFmtId="4" fontId="0" fillId="0" borderId="0" xfId="0" applyNumberFormat="1" applyAlignment="1">
      <alignment horizontal="right"/>
    </xf>
    <xf numFmtId="9" fontId="4" fillId="0" borderId="0" xfId="0" applyNumberFormat="1" applyFont="1"/>
    <xf numFmtId="9" fontId="0" fillId="0" borderId="0" xfId="0" applyNumberFormat="1"/>
    <xf numFmtId="0" fontId="0" fillId="0" borderId="0" xfId="0"/>
    <xf numFmtId="1" fontId="0" fillId="0" borderId="0" xfId="0" applyNumberFormat="1"/>
    <xf numFmtId="3" fontId="0" fillId="0" borderId="0" xfId="0" applyNumberFormat="1" applyFill="1"/>
  </cellXfs>
  <cellStyles count="17">
    <cellStyle name="Dålig" xfId="1" builtinId="27"/>
    <cellStyle name="Hyperlink 2" xfId="4"/>
    <cellStyle name="Normal" xfId="0" builtinId="0"/>
    <cellStyle name="Normal 10" xfId="6"/>
    <cellStyle name="Normal 2" xfId="3"/>
    <cellStyle name="Normal 2 2" xfId="7"/>
    <cellStyle name="Normal 3" xfId="8"/>
    <cellStyle name="Normal 4" xfId="9"/>
    <cellStyle name="Normal 5" xfId="5"/>
    <cellStyle name="Normal 5 2" xfId="14"/>
    <cellStyle name="Normal 6" xfId="10"/>
    <cellStyle name="Normal 6 2" xfId="15"/>
    <cellStyle name="Normal 7" xfId="11"/>
    <cellStyle name="Normal 7 2" xfId="16"/>
    <cellStyle name="Normal 8" xfId="12"/>
    <cellStyle name="Normal 9" xfId="13"/>
    <cellStyle name="Tal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7.xml"/><Relationship Id="rId18" Type="http://schemas.openxmlformats.org/officeDocument/2006/relationships/chartsheet" Target="chartsheets/sheet9.xml"/><Relationship Id="rId26" Type="http://schemas.openxmlformats.org/officeDocument/2006/relationships/chartsheet" Target="chartsheets/sheet13.xml"/><Relationship Id="rId39" Type="http://schemas.openxmlformats.org/officeDocument/2006/relationships/worksheet" Target="worksheets/sheet20.xml"/><Relationship Id="rId21" Type="http://schemas.openxmlformats.org/officeDocument/2006/relationships/worksheet" Target="worksheets/sheet11.xml"/><Relationship Id="rId34" Type="http://schemas.openxmlformats.org/officeDocument/2006/relationships/chartsheet" Target="chartsheets/sheet17.xml"/><Relationship Id="rId42" Type="http://schemas.openxmlformats.org/officeDocument/2006/relationships/chartsheet" Target="chartsheets/sheet21.xml"/><Relationship Id="rId47" Type="http://schemas.openxmlformats.org/officeDocument/2006/relationships/worksheet" Target="worksheets/sheet24.xml"/><Relationship Id="rId50" Type="http://schemas.openxmlformats.org/officeDocument/2006/relationships/chartsheet" Target="chartsheets/sheet25.xml"/><Relationship Id="rId55" Type="http://schemas.openxmlformats.org/officeDocument/2006/relationships/worksheet" Target="worksheets/sheet28.xml"/><Relationship Id="rId63" Type="http://schemas.openxmlformats.org/officeDocument/2006/relationships/worksheet" Target="worksheets/sheet32.xml"/><Relationship Id="rId68" Type="http://schemas.openxmlformats.org/officeDocument/2006/relationships/theme" Target="theme/theme1.xml"/><Relationship Id="rId7" Type="http://schemas.openxmlformats.org/officeDocument/2006/relationships/worksheet" Target="worksheets/sheet4.xml"/><Relationship Id="rId71" Type="http://schemas.openxmlformats.org/officeDocument/2006/relationships/calcChain" Target="calcChain.xml"/><Relationship Id="rId2" Type="http://schemas.openxmlformats.org/officeDocument/2006/relationships/chartsheet" Target="chartsheets/sheet1.xml"/><Relationship Id="rId16" Type="http://schemas.openxmlformats.org/officeDocument/2006/relationships/chartsheet" Target="chartsheets/sheet8.xml"/><Relationship Id="rId29" Type="http://schemas.openxmlformats.org/officeDocument/2006/relationships/worksheet" Target="worksheets/sheet15.xml"/><Relationship Id="rId1" Type="http://schemas.openxmlformats.org/officeDocument/2006/relationships/worksheet" Target="worksheets/sheet1.xml"/><Relationship Id="rId6" Type="http://schemas.openxmlformats.org/officeDocument/2006/relationships/chartsheet" Target="chartsheets/sheet3.xml"/><Relationship Id="rId11" Type="http://schemas.openxmlformats.org/officeDocument/2006/relationships/worksheet" Target="worksheets/sheet6.xml"/><Relationship Id="rId24" Type="http://schemas.openxmlformats.org/officeDocument/2006/relationships/chartsheet" Target="chartsheets/sheet12.xml"/><Relationship Id="rId32" Type="http://schemas.openxmlformats.org/officeDocument/2006/relationships/chartsheet" Target="chartsheets/sheet16.xml"/><Relationship Id="rId37" Type="http://schemas.openxmlformats.org/officeDocument/2006/relationships/worksheet" Target="worksheets/sheet19.xml"/><Relationship Id="rId40" Type="http://schemas.openxmlformats.org/officeDocument/2006/relationships/chartsheet" Target="chartsheets/sheet20.xml"/><Relationship Id="rId45" Type="http://schemas.openxmlformats.org/officeDocument/2006/relationships/worksheet" Target="worksheets/sheet23.xml"/><Relationship Id="rId53" Type="http://schemas.openxmlformats.org/officeDocument/2006/relationships/worksheet" Target="worksheets/sheet27.xml"/><Relationship Id="rId58" Type="http://schemas.openxmlformats.org/officeDocument/2006/relationships/chartsheet" Target="chartsheets/sheet29.xml"/><Relationship Id="rId66" Type="http://schemas.openxmlformats.org/officeDocument/2006/relationships/chartsheet" Target="chartsheets/sheet33.xml"/><Relationship Id="rId5" Type="http://schemas.openxmlformats.org/officeDocument/2006/relationships/worksheet" Target="worksheets/sheet3.xml"/><Relationship Id="rId15" Type="http://schemas.openxmlformats.org/officeDocument/2006/relationships/worksheet" Target="worksheets/sheet8.xml"/><Relationship Id="rId23" Type="http://schemas.openxmlformats.org/officeDocument/2006/relationships/worksheet" Target="worksheets/sheet12.xml"/><Relationship Id="rId28" Type="http://schemas.openxmlformats.org/officeDocument/2006/relationships/chartsheet" Target="chartsheets/sheet14.xml"/><Relationship Id="rId36" Type="http://schemas.openxmlformats.org/officeDocument/2006/relationships/chartsheet" Target="chartsheets/sheet18.xml"/><Relationship Id="rId49" Type="http://schemas.openxmlformats.org/officeDocument/2006/relationships/worksheet" Target="worksheets/sheet25.xml"/><Relationship Id="rId57" Type="http://schemas.openxmlformats.org/officeDocument/2006/relationships/worksheet" Target="worksheets/sheet29.xml"/><Relationship Id="rId61" Type="http://schemas.openxmlformats.org/officeDocument/2006/relationships/worksheet" Target="worksheets/sheet31.xml"/><Relationship Id="rId10" Type="http://schemas.openxmlformats.org/officeDocument/2006/relationships/chartsheet" Target="chartsheets/sheet5.xml"/><Relationship Id="rId19" Type="http://schemas.openxmlformats.org/officeDocument/2006/relationships/worksheet" Target="worksheets/sheet10.xml"/><Relationship Id="rId31" Type="http://schemas.openxmlformats.org/officeDocument/2006/relationships/worksheet" Target="worksheets/sheet16.xml"/><Relationship Id="rId44" Type="http://schemas.openxmlformats.org/officeDocument/2006/relationships/chartsheet" Target="chartsheets/sheet22.xml"/><Relationship Id="rId52" Type="http://schemas.openxmlformats.org/officeDocument/2006/relationships/chartsheet" Target="chartsheets/sheet26.xml"/><Relationship Id="rId60" Type="http://schemas.openxmlformats.org/officeDocument/2006/relationships/chartsheet" Target="chartsheets/sheet30.xml"/><Relationship Id="rId65" Type="http://schemas.openxmlformats.org/officeDocument/2006/relationships/worksheet" Target="worksheets/sheet33.xml"/><Relationship Id="rId4" Type="http://schemas.openxmlformats.org/officeDocument/2006/relationships/chartsheet" Target="chartsheets/sheet2.xml"/><Relationship Id="rId9" Type="http://schemas.openxmlformats.org/officeDocument/2006/relationships/worksheet" Target="worksheets/sheet5.xml"/><Relationship Id="rId14" Type="http://schemas.openxmlformats.org/officeDocument/2006/relationships/chartsheet" Target="chartsheets/sheet7.xml"/><Relationship Id="rId22" Type="http://schemas.openxmlformats.org/officeDocument/2006/relationships/chartsheet" Target="chartsheets/sheet11.xml"/><Relationship Id="rId27" Type="http://schemas.openxmlformats.org/officeDocument/2006/relationships/worksheet" Target="worksheets/sheet14.xml"/><Relationship Id="rId30" Type="http://schemas.openxmlformats.org/officeDocument/2006/relationships/chartsheet" Target="chartsheets/sheet15.xml"/><Relationship Id="rId35" Type="http://schemas.openxmlformats.org/officeDocument/2006/relationships/worksheet" Target="worksheets/sheet18.xml"/><Relationship Id="rId43" Type="http://schemas.openxmlformats.org/officeDocument/2006/relationships/worksheet" Target="worksheets/sheet22.xml"/><Relationship Id="rId48" Type="http://schemas.openxmlformats.org/officeDocument/2006/relationships/chartsheet" Target="chartsheets/sheet24.xml"/><Relationship Id="rId56" Type="http://schemas.openxmlformats.org/officeDocument/2006/relationships/chartsheet" Target="chartsheets/sheet28.xml"/><Relationship Id="rId64" Type="http://schemas.openxmlformats.org/officeDocument/2006/relationships/chartsheet" Target="chartsheets/sheet32.xml"/><Relationship Id="rId69" Type="http://schemas.openxmlformats.org/officeDocument/2006/relationships/styles" Target="styles.xml"/><Relationship Id="rId8" Type="http://schemas.openxmlformats.org/officeDocument/2006/relationships/chartsheet" Target="chartsheets/sheet4.xml"/><Relationship Id="rId51" Type="http://schemas.openxmlformats.org/officeDocument/2006/relationships/worksheet" Target="worksheets/sheet26.xml"/><Relationship Id="rId3" Type="http://schemas.openxmlformats.org/officeDocument/2006/relationships/worksheet" Target="worksheets/sheet2.xml"/><Relationship Id="rId12" Type="http://schemas.openxmlformats.org/officeDocument/2006/relationships/chartsheet" Target="chartsheets/sheet6.xml"/><Relationship Id="rId17" Type="http://schemas.openxmlformats.org/officeDocument/2006/relationships/worksheet" Target="worksheets/sheet9.xml"/><Relationship Id="rId25" Type="http://schemas.openxmlformats.org/officeDocument/2006/relationships/worksheet" Target="worksheets/sheet13.xml"/><Relationship Id="rId33" Type="http://schemas.openxmlformats.org/officeDocument/2006/relationships/worksheet" Target="worksheets/sheet17.xml"/><Relationship Id="rId38" Type="http://schemas.openxmlformats.org/officeDocument/2006/relationships/chartsheet" Target="chartsheets/sheet19.xml"/><Relationship Id="rId46" Type="http://schemas.openxmlformats.org/officeDocument/2006/relationships/chartsheet" Target="chartsheets/sheet23.xml"/><Relationship Id="rId59" Type="http://schemas.openxmlformats.org/officeDocument/2006/relationships/worksheet" Target="worksheets/sheet30.xml"/><Relationship Id="rId67" Type="http://schemas.openxmlformats.org/officeDocument/2006/relationships/externalLink" Target="externalLinks/externalLink1.xml"/><Relationship Id="rId20" Type="http://schemas.openxmlformats.org/officeDocument/2006/relationships/chartsheet" Target="chartsheets/sheet10.xml"/><Relationship Id="rId41" Type="http://schemas.openxmlformats.org/officeDocument/2006/relationships/worksheet" Target="worksheets/sheet21.xml"/><Relationship Id="rId54" Type="http://schemas.openxmlformats.org/officeDocument/2006/relationships/chartsheet" Target="chartsheets/sheet27.xml"/><Relationship Id="rId62" Type="http://schemas.openxmlformats.org/officeDocument/2006/relationships/chartsheet" Target="chartsheets/sheet31.xml"/><Relationship Id="rId70"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20.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themeOverride" Target="../theme/themeOverride21.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themeOverride" Target="../theme/themeOverride22.xml"/><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themeOverride" Target="../theme/themeOverride23.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themeOverride" Target="../theme/themeOverride24.xml"/><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3" Type="http://schemas.openxmlformats.org/officeDocument/2006/relationships/themeOverride" Target="../theme/themeOverride25.xml"/><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3" Type="http://schemas.openxmlformats.org/officeDocument/2006/relationships/themeOverride" Target="../theme/themeOverride26.xml"/><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3" Type="http://schemas.openxmlformats.org/officeDocument/2006/relationships/themeOverride" Target="../theme/themeOverride27.xml"/><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3" Type="http://schemas.openxmlformats.org/officeDocument/2006/relationships/themeOverride" Target="../theme/themeOverride28.xml"/><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themeOverride" Target="../theme/themeOverride29.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themeOverride" Target="../theme/themeOverride30.xml"/><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themeOverride" Target="../theme/themeOverride31.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3" Type="http://schemas.openxmlformats.org/officeDocument/2006/relationships/themeOverride" Target="../theme/themeOverride32.xml"/><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3" Type="http://schemas.openxmlformats.org/officeDocument/2006/relationships/themeOverride" Target="../theme/themeOverride33.xml"/><Relationship Id="rId2" Type="http://schemas.microsoft.com/office/2011/relationships/chartColorStyle" Target="colors33.xml"/><Relationship Id="rId1" Type="http://schemas.microsoft.com/office/2011/relationships/chartStyle" Target="style3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rgbClr val="4DAEC3"/>
              </a:solidFill>
              <a:ln w="12700">
                <a:noFill/>
              </a:ln>
              <a:effectLst/>
            </c:spPr>
            <c:extLst>
              <c:ext xmlns:c16="http://schemas.microsoft.com/office/drawing/2014/chart" uri="{C3380CC4-5D6E-409C-BE32-E72D297353CC}">
                <c16:uniqueId val="{00000001-9CEB-4DCF-A657-E8532C74E7AA}"/>
              </c:ext>
            </c:extLst>
          </c:dPt>
          <c:dPt>
            <c:idx val="1"/>
            <c:bubble3D val="0"/>
            <c:spPr>
              <a:solidFill>
                <a:srgbClr val="E64848"/>
              </a:solidFill>
              <a:ln w="12700">
                <a:noFill/>
              </a:ln>
              <a:effectLst/>
            </c:spPr>
            <c:extLst>
              <c:ext xmlns:c16="http://schemas.microsoft.com/office/drawing/2014/chart" uri="{C3380CC4-5D6E-409C-BE32-E72D297353CC}">
                <c16:uniqueId val="{00000003-9CEB-4DCF-A657-E8532C74E7AA}"/>
              </c:ext>
            </c:extLst>
          </c:dPt>
          <c:dPt>
            <c:idx val="2"/>
            <c:bubble3D val="0"/>
            <c:spPr>
              <a:solidFill>
                <a:srgbClr val="98BF0C"/>
              </a:solidFill>
              <a:ln w="12700">
                <a:noFill/>
              </a:ln>
              <a:effectLst/>
            </c:spPr>
            <c:extLst>
              <c:ext xmlns:c16="http://schemas.microsoft.com/office/drawing/2014/chart" uri="{C3380CC4-5D6E-409C-BE32-E72D297353CC}">
                <c16:uniqueId val="{00000005-9CEB-4DCF-A657-E8532C74E7AA}"/>
              </c:ext>
            </c:extLst>
          </c:dPt>
          <c:dPt>
            <c:idx val="3"/>
            <c:bubble3D val="0"/>
            <c:spPr>
              <a:solidFill>
                <a:srgbClr val="F0B600"/>
              </a:solidFill>
              <a:ln w="12700">
                <a:noFill/>
              </a:ln>
              <a:effectLst/>
            </c:spPr>
            <c:extLst>
              <c:ext xmlns:c16="http://schemas.microsoft.com/office/drawing/2014/chart" uri="{C3380CC4-5D6E-409C-BE32-E72D297353CC}">
                <c16:uniqueId val="{00000007-9CEB-4DCF-A657-E8532C74E7AA}"/>
              </c:ext>
            </c:extLst>
          </c:dPt>
          <c:dPt>
            <c:idx val="4"/>
            <c:bubble3D val="0"/>
            <c:spPr>
              <a:solidFill>
                <a:srgbClr val="A05599"/>
              </a:solidFill>
              <a:ln w="12700">
                <a:noFill/>
              </a:ln>
              <a:effectLst/>
            </c:spPr>
            <c:extLst>
              <c:ext xmlns:c16="http://schemas.microsoft.com/office/drawing/2014/chart" uri="{C3380CC4-5D6E-409C-BE32-E72D297353CC}">
                <c16:uniqueId val="{00000009-9CEB-4DCF-A657-E8532C74E7AA}"/>
              </c:ext>
            </c:extLst>
          </c:dPt>
          <c:dPt>
            <c:idx val="5"/>
            <c:bubble3D val="0"/>
            <c:spPr>
              <a:solidFill>
                <a:srgbClr val="C0C1C2"/>
              </a:solidFill>
              <a:ln w="12700">
                <a:noFill/>
              </a:ln>
              <a:effectLst/>
            </c:spPr>
            <c:extLst>
              <c:ext xmlns:c16="http://schemas.microsoft.com/office/drawing/2014/chart" uri="{C3380CC4-5D6E-409C-BE32-E72D297353CC}">
                <c16:uniqueId val="{0000000B-9CEB-4DCF-A657-E8532C74E7AA}"/>
              </c:ext>
            </c:extLst>
          </c:dPt>
          <c:dPt>
            <c:idx val="6"/>
            <c:bubble3D val="0"/>
            <c:spPr>
              <a:solidFill>
                <a:srgbClr val="EC732B"/>
              </a:solidFill>
              <a:ln w="12700">
                <a:noFill/>
              </a:ln>
              <a:effectLst/>
            </c:spPr>
            <c:extLst>
              <c:ext xmlns:c16="http://schemas.microsoft.com/office/drawing/2014/chart" uri="{C3380CC4-5D6E-409C-BE32-E72D297353CC}">
                <c16:uniqueId val="{0000000D-9CEB-4DCF-A657-E8532C74E7AA}"/>
              </c:ext>
            </c:extLst>
          </c:dPt>
          <c:dPt>
            <c:idx val="7"/>
            <c:bubble3D val="0"/>
            <c:spPr>
              <a:solidFill>
                <a:srgbClr val="1E1C20"/>
              </a:solidFill>
              <a:ln w="12700">
                <a:noFill/>
              </a:ln>
              <a:effectLst/>
            </c:spPr>
            <c:extLst>
              <c:ext xmlns:c16="http://schemas.microsoft.com/office/drawing/2014/chart" uri="{C3380CC4-5D6E-409C-BE32-E72D297353CC}">
                <c16:uniqueId val="{0000000F-9CEB-4DCF-A657-E8532C74E7AA}"/>
              </c:ext>
            </c:extLst>
          </c:dPt>
          <c:dPt>
            <c:idx val="8"/>
            <c:bubble3D val="0"/>
            <c:spPr>
              <a:solidFill>
                <a:srgbClr val="0098D4"/>
              </a:solidFill>
              <a:ln w="12700">
                <a:noFill/>
              </a:ln>
              <a:effectLst/>
            </c:spPr>
            <c:extLst>
              <c:ext xmlns:c16="http://schemas.microsoft.com/office/drawing/2014/chart" uri="{C3380CC4-5D6E-409C-BE32-E72D297353CC}">
                <c16:uniqueId val="{00000011-9CEB-4DCF-A657-E8532C74E7AA}"/>
              </c:ext>
            </c:extLst>
          </c:dPt>
          <c:dPt>
            <c:idx val="9"/>
            <c:bubble3D val="0"/>
            <c:spPr>
              <a:solidFill>
                <a:srgbClr val="C0C1C2"/>
              </a:solidFill>
              <a:ln w="12700">
                <a:noFill/>
              </a:ln>
              <a:effectLst/>
            </c:spPr>
            <c:extLst>
              <c:ext xmlns:c16="http://schemas.microsoft.com/office/drawing/2014/chart" uri="{C3380CC4-5D6E-409C-BE32-E72D297353CC}">
                <c16:uniqueId val="{00000013-9CEB-4DCF-A657-E8532C74E7AA}"/>
              </c:ext>
            </c:extLst>
          </c:dPt>
          <c:cat>
            <c:strRef>
              <c:f>'1.'!$A$8:$A$15</c:f>
              <c:strCache>
                <c:ptCount val="8"/>
                <c:pt idx="0">
                  <c:v>Storbanker  54 %</c:v>
                </c:pt>
                <c:pt idx="1">
                  <c:v>Konsumtionskredit 2,1 %</c:v>
                </c:pt>
                <c:pt idx="2">
                  <c:v>Retailbanker 13%</c:v>
                </c:pt>
                <c:pt idx="3">
                  <c:v>VP-banker 0,8%</c:v>
                </c:pt>
                <c:pt idx="4">
                  <c:v>Leasing 0,5%</c:v>
                </c:pt>
                <c:pt idx="5">
                  <c:v>Sparbanker 5,9 %</c:v>
                </c:pt>
                <c:pt idx="6">
                  <c:v>Övriga 5,4 %</c:v>
                </c:pt>
                <c:pt idx="7">
                  <c:v>Utländska banker 19 %</c:v>
                </c:pt>
              </c:strCache>
            </c:strRef>
          </c:cat>
          <c:val>
            <c:numRef>
              <c:f>'1.'!$C$8:$C$15</c:f>
              <c:numCache>
                <c:formatCode>0.0%</c:formatCode>
                <c:ptCount val="8"/>
                <c:pt idx="0">
                  <c:v>0.53731632245049454</c:v>
                </c:pt>
                <c:pt idx="1">
                  <c:v>2.1397926596302443E-2</c:v>
                </c:pt>
                <c:pt idx="2">
                  <c:v>0.12502407138312163</c:v>
                </c:pt>
                <c:pt idx="3">
                  <c:v>7.5657369515464952E-3</c:v>
                </c:pt>
                <c:pt idx="4">
                  <c:v>4.6046675037534285E-3</c:v>
                </c:pt>
                <c:pt idx="5">
                  <c:v>5.9101619751939255E-2</c:v>
                </c:pt>
                <c:pt idx="6">
                  <c:v>5.4320402584697981E-2</c:v>
                </c:pt>
                <c:pt idx="7">
                  <c:v>0.19066925277814412</c:v>
                </c:pt>
              </c:numCache>
            </c:numRef>
          </c:val>
          <c:extLst>
            <c:ext xmlns:c16="http://schemas.microsoft.com/office/drawing/2014/chart" uri="{C3380CC4-5D6E-409C-BE32-E72D297353CC}">
              <c16:uniqueId val="{00000014-9CEB-4DCF-A657-E8532C74E7AA}"/>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6658167133066482"/>
          <c:y val="0.14036216743279006"/>
          <c:w val="0.32552472262884236"/>
          <c:h val="0.68610600362167429"/>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solidFill>
            <a:sysClr val="windowText" lastClr="000000"/>
          </a:solidFill>
          <a:latin typeface="Arial" panose="020B0604020202020204" pitchFamily="34" charset="0"/>
          <a:cs typeface="Arial" panose="020B0604020202020204" pitchFamily="34" charset="0"/>
        </a:defRPr>
      </a:pPr>
      <a:endParaRPr lang="sv-SE"/>
    </a:p>
  </c:txPr>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2"/>
          <c:order val="0"/>
          <c:tx>
            <c:strRef>
              <c:f>'10.'!$B$7</c:f>
              <c:strCache>
                <c:ptCount val="1"/>
                <c:pt idx="0">
                  <c:v>Räntenettomarginal</c:v>
                </c:pt>
              </c:strCache>
            </c:strRef>
          </c:tx>
          <c:spPr>
            <a:ln w="38100" cap="sq">
              <a:solidFill>
                <a:srgbClr val="4DAEC3"/>
              </a:solidFill>
              <a:prstDash val="solid"/>
              <a:round/>
            </a:ln>
            <a:effectLst/>
          </c:spPr>
          <c:marker>
            <c:symbol val="none"/>
          </c:marker>
          <c:cat>
            <c:numRef>
              <c:f>'10.'!$A$8:$A$29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'10.'!$B$8:$B$29</c:f>
              <c:numCache>
                <c:formatCode>0.0</c:formatCode>
                <c:ptCount val="22"/>
                <c:pt idx="0">
                  <c:v>1.3862015256842253</c:v>
                </c:pt>
                <c:pt idx="1">
                  <c:v>1.3530718435722275</c:v>
                </c:pt>
                <c:pt idx="2">
                  <c:v>1.363198516206743</c:v>
                </c:pt>
                <c:pt idx="3">
                  <c:v>1.4152652134951944</c:v>
                </c:pt>
                <c:pt idx="4">
                  <c:v>1.3559398619045862</c:v>
                </c:pt>
                <c:pt idx="5">
                  <c:v>1.3304330389732548</c:v>
                </c:pt>
                <c:pt idx="6">
                  <c:v>1.3243444342932138</c:v>
                </c:pt>
                <c:pt idx="7">
                  <c:v>1.3880275316491577</c:v>
                </c:pt>
                <c:pt idx="8">
                  <c:v>1.3652276587293337</c:v>
                </c:pt>
                <c:pt idx="9">
                  <c:v>1.380995691013972</c:v>
                </c:pt>
                <c:pt idx="10">
                  <c:v>1.3549041313490595</c:v>
                </c:pt>
                <c:pt idx="11">
                  <c:v>1.4080698016040876</c:v>
                </c:pt>
                <c:pt idx="12">
                  <c:v>1.4064612075634073</c:v>
                </c:pt>
                <c:pt idx="13">
                  <c:v>1.3759496979585846</c:v>
                </c:pt>
                <c:pt idx="14">
                  <c:v>1.3967212817944834</c:v>
                </c:pt>
                <c:pt idx="15">
                  <c:v>1.420436435994151</c:v>
                </c:pt>
                <c:pt idx="16">
                  <c:v>1.4099162007291384</c:v>
                </c:pt>
                <c:pt idx="17">
                  <c:v>1.4045192854524093</c:v>
                </c:pt>
                <c:pt idx="18">
                  <c:v>1.4068871757593593</c:v>
                </c:pt>
                <c:pt idx="19">
                  <c:v>1.4487799437295763</c:v>
                </c:pt>
                <c:pt idx="20">
                  <c:v>1.4042367872228401</c:v>
                </c:pt>
                <c:pt idx="21">
                  <c:v>1.46110791235682</c:v>
                </c:pt>
              </c:numCache>
            </c:numRef>
          </c:val>
          <c:smooth val="0"/>
          <c:extLst>
            <c:ext xmlns:c16="http://schemas.microsoft.com/office/drawing/2014/chart" uri="{C3380CC4-5D6E-409C-BE32-E72D297353CC}">
              <c16:uniqueId val="{00000000-720D-482F-BCBF-E57E09A5CF84}"/>
            </c:ext>
          </c:extLst>
        </c:ser>
        <c:ser>
          <c:idx val="1"/>
          <c:order val="1"/>
          <c:tx>
            <c:strRef>
              <c:f>'10.'!$C$7</c:f>
              <c:strCache>
                <c:ptCount val="1"/>
                <c:pt idx="0">
                  <c:v>Andel problemlån</c:v>
                </c:pt>
              </c:strCache>
            </c:strRef>
          </c:tx>
          <c:spPr>
            <a:ln w="38100" cap="sq">
              <a:solidFill>
                <a:srgbClr val="E64848"/>
              </a:solidFill>
              <a:prstDash val="solid"/>
              <a:round/>
            </a:ln>
            <a:effectLst/>
          </c:spPr>
          <c:marker>
            <c:symbol val="none"/>
          </c:marker>
          <c:cat>
            <c:numRef>
              <c:f>'10.'!$A$8:$A$29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'10.'!$C$8:$C$29</c:f>
              <c:numCache>
                <c:formatCode>0.0</c:formatCode>
                <c:ptCount val="22"/>
                <c:pt idx="0">
                  <c:v>0.92312477967610751</c:v>
                </c:pt>
                <c:pt idx="1">
                  <c:v>0.8136114030750895</c:v>
                </c:pt>
                <c:pt idx="2">
                  <c:v>0.91365810083232579</c:v>
                </c:pt>
                <c:pt idx="3">
                  <c:v>0.9642167369915543</c:v>
                </c:pt>
                <c:pt idx="4">
                  <c:v>0.93645835274747435</c:v>
                </c:pt>
                <c:pt idx="5">
                  <c:v>0.92231587532282977</c:v>
                </c:pt>
                <c:pt idx="6">
                  <c:v>0.88242689055515433</c:v>
                </c:pt>
                <c:pt idx="7">
                  <c:v>0.91295533501670834</c:v>
                </c:pt>
                <c:pt idx="8">
                  <c:v>0.83800706570971284</c:v>
                </c:pt>
                <c:pt idx="9">
                  <c:v>0.89698318904399255</c:v>
                </c:pt>
                <c:pt idx="10">
                  <c:v>0.93360024929565555</c:v>
                </c:pt>
                <c:pt idx="11">
                  <c:v>0.95661011978333799</c:v>
                </c:pt>
                <c:pt idx="12">
                  <c:v>1.0355777294445103</c:v>
                </c:pt>
                <c:pt idx="13">
                  <c:v>1.0518802387738668</c:v>
                </c:pt>
                <c:pt idx="14">
                  <c:v>1.0198150598048594</c:v>
                </c:pt>
                <c:pt idx="15">
                  <c:v>1.0537759373173761</c:v>
                </c:pt>
                <c:pt idx="16">
                  <c:v>1.0346916173995748</c:v>
                </c:pt>
                <c:pt idx="17">
                  <c:v>1.1430692803728206</c:v>
                </c:pt>
                <c:pt idx="18">
                  <c:v>1.213583690397809</c:v>
                </c:pt>
                <c:pt idx="19">
                  <c:v>1.2497058492018829</c:v>
                </c:pt>
                <c:pt idx="20">
                  <c:v>1.26567749643016</c:v>
                </c:pt>
                <c:pt idx="21">
                  <c:v>1.25773714174874</c:v>
                </c:pt>
              </c:numCache>
            </c:numRef>
          </c:val>
          <c:smooth val="0"/>
          <c:extLst>
            <c:ext xmlns:c16="http://schemas.microsoft.com/office/drawing/2014/chart" uri="{C3380CC4-5D6E-409C-BE32-E72D297353CC}">
              <c16:uniqueId val="{00000001-720D-482F-BCBF-E57E09A5CF84}"/>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1.6"/>
          <c:min val="0.60000000000000009"/>
        </c:scaling>
        <c:delete val="0"/>
        <c:axPos val="l"/>
        <c:majorGridlines>
          <c:spPr>
            <a:ln w="9525" cap="flat" cmpd="sng" algn="ctr">
              <a:solidFill>
                <a:srgbClr val="A4A4A4"/>
              </a:solidFill>
              <a:round/>
            </a:ln>
            <a:effectLst/>
          </c:spPr>
        </c:majorGridlines>
        <c:numFmt formatCode="0.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0.2"/>
      </c:valAx>
      <c:spPr>
        <a:noFill/>
        <a:ln>
          <a:solidFill>
            <a:srgbClr val="A4A4A4"/>
          </a:solidFill>
        </a:ln>
        <a:effectLst/>
      </c:spPr>
    </c:plotArea>
    <c:legend>
      <c:legendPos val="b"/>
      <c:layout>
        <c:manualLayout>
          <c:xMode val="edge"/>
          <c:yMode val="edge"/>
          <c:x val="0.12425356030176131"/>
          <c:y val="0.90968749592584386"/>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8285913197658501"/>
        </c:manualLayout>
      </c:layout>
      <c:lineChart>
        <c:grouping val="standard"/>
        <c:varyColors val="0"/>
        <c:ser>
          <c:idx val="0"/>
          <c:order val="0"/>
          <c:spPr>
            <a:ln w="38100" cap="sq">
              <a:solidFill>
                <a:srgbClr val="4DAEC3"/>
              </a:solidFill>
              <a:prstDash val="solid"/>
              <a:round/>
            </a:ln>
            <a:effectLst/>
          </c:spPr>
          <c:marker>
            <c:symbol val="none"/>
          </c:marker>
          <c:cat>
            <c:numRef>
              <c:f>'11.'!$A$8:$A$17</c:f>
              <c:numCache>
                <c:formatCode>mmm\-yy</c:formatCode>
                <c:ptCount val="10"/>
                <c:pt idx="0">
                  <c:v>43190</c:v>
                </c:pt>
                <c:pt idx="1">
                  <c:v>43281</c:v>
                </c:pt>
                <c:pt idx="2">
                  <c:v>43373</c:v>
                </c:pt>
                <c:pt idx="3">
                  <c:v>43465</c:v>
                </c:pt>
                <c:pt idx="4">
                  <c:v>43555</c:v>
                </c:pt>
                <c:pt idx="5">
                  <c:v>43646</c:v>
                </c:pt>
                <c:pt idx="6">
                  <c:v>43738</c:v>
                </c:pt>
                <c:pt idx="7">
                  <c:v>43830</c:v>
                </c:pt>
                <c:pt idx="8">
                  <c:v>43921</c:v>
                </c:pt>
                <c:pt idx="9">
                  <c:v>44012</c:v>
                </c:pt>
              </c:numCache>
            </c:numRef>
          </c:cat>
          <c:val>
            <c:numRef>
              <c:f>'11.'!$B$8:$B$17</c:f>
              <c:numCache>
                <c:formatCode>0</c:formatCode>
                <c:ptCount val="10"/>
                <c:pt idx="0">
                  <c:v>4.5684688600000003</c:v>
                </c:pt>
                <c:pt idx="1">
                  <c:v>6.5727922110000003</c:v>
                </c:pt>
                <c:pt idx="2">
                  <c:v>8.1845161829999995</c:v>
                </c:pt>
                <c:pt idx="3">
                  <c:v>10.583130053</c:v>
                </c:pt>
                <c:pt idx="4">
                  <c:v>14.992522866</c:v>
                </c:pt>
                <c:pt idx="5">
                  <c:v>17.375924939000001</c:v>
                </c:pt>
                <c:pt idx="6">
                  <c:v>19.649134413999999</c:v>
                </c:pt>
                <c:pt idx="7">
                  <c:v>21.683818379000002</c:v>
                </c:pt>
                <c:pt idx="8">
                  <c:v>23.818884721</c:v>
                </c:pt>
                <c:pt idx="9">
                  <c:v>26.298084525</c:v>
                </c:pt>
              </c:numCache>
            </c:numRef>
          </c:val>
          <c:smooth val="0"/>
          <c:extLst>
            <c:ext xmlns:c16="http://schemas.microsoft.com/office/drawing/2014/chart" uri="{C3380CC4-5D6E-409C-BE32-E72D297353CC}">
              <c16:uniqueId val="{00000000-F63E-4B95-A92C-08485D6DA522}"/>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055008856227948E-2"/>
          <c:y val="2.2789814578185269E-2"/>
          <c:w val="0.94310906193078325"/>
          <c:h val="0.79989187732770117"/>
        </c:manualLayout>
      </c:layout>
      <c:lineChart>
        <c:grouping val="standard"/>
        <c:varyColors val="0"/>
        <c:ser>
          <c:idx val="1"/>
          <c:order val="0"/>
          <c:tx>
            <c:strRef>
              <c:f>'12.'!$B$7</c:f>
              <c:strCache>
                <c:ptCount val="1"/>
                <c:pt idx="0">
                  <c:v>Antal företag /vänster axel)</c:v>
                </c:pt>
              </c:strCache>
            </c:strRef>
          </c:tx>
          <c:spPr>
            <a:ln w="38100" cap="rnd">
              <a:solidFill>
                <a:srgbClr val="E64848"/>
              </a:solidFill>
              <a:round/>
            </a:ln>
            <a:effectLst/>
          </c:spPr>
          <c:marker>
            <c:symbol val="none"/>
          </c:marker>
          <c:cat>
            <c:numRef>
              <c:f>'12.'!$A$8:$A$24</c:f>
              <c:numCache>
                <c:formatCode>mmm\-yy</c:formatCode>
                <c:ptCount val="17"/>
                <c:pt idx="0">
                  <c:v>41061</c:v>
                </c:pt>
                <c:pt idx="1">
                  <c:v>41244</c:v>
                </c:pt>
                <c:pt idx="2">
                  <c:v>41426</c:v>
                </c:pt>
                <c:pt idx="3">
                  <c:v>41609</c:v>
                </c:pt>
                <c:pt idx="4">
                  <c:v>41791</c:v>
                </c:pt>
                <c:pt idx="5">
                  <c:v>41974</c:v>
                </c:pt>
                <c:pt idx="6">
                  <c:v>42156</c:v>
                </c:pt>
                <c:pt idx="7">
                  <c:v>42339</c:v>
                </c:pt>
                <c:pt idx="8">
                  <c:v>42522</c:v>
                </c:pt>
                <c:pt idx="9">
                  <c:v>42705</c:v>
                </c:pt>
                <c:pt idx="10">
                  <c:v>42887</c:v>
                </c:pt>
                <c:pt idx="11">
                  <c:v>43070</c:v>
                </c:pt>
                <c:pt idx="12">
                  <c:v>43252</c:v>
                </c:pt>
                <c:pt idx="13">
                  <c:v>43435</c:v>
                </c:pt>
                <c:pt idx="14">
                  <c:v>43617</c:v>
                </c:pt>
                <c:pt idx="15">
                  <c:v>43800</c:v>
                </c:pt>
                <c:pt idx="16">
                  <c:v>43983</c:v>
                </c:pt>
              </c:numCache>
            </c:numRef>
          </c:cat>
          <c:val>
            <c:numRef>
              <c:f>'12.'!$B$8:$B$24</c:f>
              <c:numCache>
                <c:formatCode>General</c:formatCode>
                <c:ptCount val="17"/>
                <c:pt idx="0">
                  <c:v>22</c:v>
                </c:pt>
                <c:pt idx="1">
                  <c:v>22</c:v>
                </c:pt>
                <c:pt idx="2">
                  <c:v>23</c:v>
                </c:pt>
                <c:pt idx="3">
                  <c:v>22</c:v>
                </c:pt>
                <c:pt idx="4">
                  <c:v>23</c:v>
                </c:pt>
                <c:pt idx="5">
                  <c:v>24</c:v>
                </c:pt>
                <c:pt idx="6">
                  <c:v>23</c:v>
                </c:pt>
                <c:pt idx="7">
                  <c:v>25</c:v>
                </c:pt>
                <c:pt idx="8">
                  <c:v>27</c:v>
                </c:pt>
                <c:pt idx="9">
                  <c:v>28</c:v>
                </c:pt>
                <c:pt idx="10">
                  <c:v>32</c:v>
                </c:pt>
                <c:pt idx="11">
                  <c:v>32</c:v>
                </c:pt>
                <c:pt idx="12">
                  <c:v>32</c:v>
                </c:pt>
                <c:pt idx="13">
                  <c:v>30</c:v>
                </c:pt>
                <c:pt idx="14">
                  <c:v>30</c:v>
                </c:pt>
                <c:pt idx="15">
                  <c:v>30</c:v>
                </c:pt>
                <c:pt idx="16">
                  <c:v>36</c:v>
                </c:pt>
              </c:numCache>
            </c:numRef>
          </c:val>
          <c:smooth val="0"/>
          <c:extLst>
            <c:ext xmlns:c16="http://schemas.microsoft.com/office/drawing/2014/chart" uri="{C3380CC4-5D6E-409C-BE32-E72D297353CC}">
              <c16:uniqueId val="{00000000-7E34-4E11-8254-71445999E0D5}"/>
            </c:ext>
          </c:extLst>
        </c:ser>
        <c:dLbls>
          <c:showLegendKey val="0"/>
          <c:showVal val="0"/>
          <c:showCatName val="0"/>
          <c:showSerName val="0"/>
          <c:showPercent val="0"/>
          <c:showBubbleSize val="0"/>
        </c:dLbls>
        <c:marker val="1"/>
        <c:smooth val="0"/>
        <c:axId val="517726632"/>
        <c:axId val="517737456"/>
      </c:lineChart>
      <c:lineChart>
        <c:grouping val="standard"/>
        <c:varyColors val="0"/>
        <c:ser>
          <c:idx val="2"/>
          <c:order val="1"/>
          <c:tx>
            <c:strRef>
              <c:f>'12.'!$C$7</c:f>
              <c:strCache>
                <c:ptCount val="1"/>
                <c:pt idx="0">
                  <c:v>Betalningsvolym (höger axel)</c:v>
                </c:pt>
              </c:strCache>
            </c:strRef>
          </c:tx>
          <c:spPr>
            <a:ln w="38100" cap="rnd">
              <a:solidFill>
                <a:srgbClr val="4DAEC3"/>
              </a:solidFill>
              <a:round/>
            </a:ln>
            <a:effectLst/>
          </c:spPr>
          <c:marker>
            <c:symbol val="none"/>
          </c:marker>
          <c:cat>
            <c:numRef>
              <c:f>'12.'!$A$8:$A$24</c:f>
              <c:numCache>
                <c:formatCode>mmm\-yy</c:formatCode>
                <c:ptCount val="17"/>
                <c:pt idx="0">
                  <c:v>41061</c:v>
                </c:pt>
                <c:pt idx="1">
                  <c:v>41244</c:v>
                </c:pt>
                <c:pt idx="2">
                  <c:v>41426</c:v>
                </c:pt>
                <c:pt idx="3">
                  <c:v>41609</c:v>
                </c:pt>
                <c:pt idx="4">
                  <c:v>41791</c:v>
                </c:pt>
                <c:pt idx="5">
                  <c:v>41974</c:v>
                </c:pt>
                <c:pt idx="6">
                  <c:v>42156</c:v>
                </c:pt>
                <c:pt idx="7">
                  <c:v>42339</c:v>
                </c:pt>
                <c:pt idx="8">
                  <c:v>42522</c:v>
                </c:pt>
                <c:pt idx="9">
                  <c:v>42705</c:v>
                </c:pt>
                <c:pt idx="10">
                  <c:v>42887</c:v>
                </c:pt>
                <c:pt idx="11">
                  <c:v>43070</c:v>
                </c:pt>
                <c:pt idx="12">
                  <c:v>43252</c:v>
                </c:pt>
                <c:pt idx="13">
                  <c:v>43435</c:v>
                </c:pt>
                <c:pt idx="14">
                  <c:v>43617</c:v>
                </c:pt>
                <c:pt idx="15">
                  <c:v>43800</c:v>
                </c:pt>
                <c:pt idx="16">
                  <c:v>43983</c:v>
                </c:pt>
              </c:numCache>
            </c:numRef>
          </c:cat>
          <c:val>
            <c:numRef>
              <c:f>'12.'!$C$8:$C$24</c:f>
              <c:numCache>
                <c:formatCode>0</c:formatCode>
                <c:ptCount val="17"/>
                <c:pt idx="0">
                  <c:v>126.235242</c:v>
                </c:pt>
                <c:pt idx="1">
                  <c:v>135.37785099999999</c:v>
                </c:pt>
                <c:pt idx="2">
                  <c:v>136.48057299999999</c:v>
                </c:pt>
                <c:pt idx="3">
                  <c:v>127.509832</c:v>
                </c:pt>
                <c:pt idx="4">
                  <c:v>118.950862</c:v>
                </c:pt>
                <c:pt idx="5">
                  <c:v>121.243554</c:v>
                </c:pt>
                <c:pt idx="6">
                  <c:v>127.804142</c:v>
                </c:pt>
                <c:pt idx="7">
                  <c:v>144.03834599999999</c:v>
                </c:pt>
                <c:pt idx="8">
                  <c:v>167.59769700000001</c:v>
                </c:pt>
                <c:pt idx="9">
                  <c:v>191.23185000000001</c:v>
                </c:pt>
                <c:pt idx="10">
                  <c:v>219.32824299999999</c:v>
                </c:pt>
                <c:pt idx="11">
                  <c:v>245.715711</c:v>
                </c:pt>
                <c:pt idx="12">
                  <c:v>275.37471099999999</c:v>
                </c:pt>
                <c:pt idx="13">
                  <c:v>325.45413400000001</c:v>
                </c:pt>
                <c:pt idx="14">
                  <c:v>399.977192</c:v>
                </c:pt>
                <c:pt idx="15">
                  <c:v>558.01142400000003</c:v>
                </c:pt>
                <c:pt idx="16">
                  <c:v>651.36814000000004</c:v>
                </c:pt>
              </c:numCache>
            </c:numRef>
          </c:val>
          <c:smooth val="1"/>
          <c:extLst>
            <c:ext xmlns:c16="http://schemas.microsoft.com/office/drawing/2014/chart" uri="{C3380CC4-5D6E-409C-BE32-E72D297353CC}">
              <c16:uniqueId val="{00000002-7E34-4E11-8254-71445999E0D5}"/>
            </c:ext>
          </c:extLst>
        </c:ser>
        <c:dLbls>
          <c:showLegendKey val="0"/>
          <c:showVal val="0"/>
          <c:showCatName val="0"/>
          <c:showSerName val="0"/>
          <c:showPercent val="0"/>
          <c:showBubbleSize val="0"/>
        </c:dLbls>
        <c:marker val="1"/>
        <c:smooth val="0"/>
        <c:axId val="1387585152"/>
        <c:axId val="138758449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General"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valAx>
        <c:axId val="1387584496"/>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387585152"/>
        <c:crosses val="max"/>
        <c:crossBetween val="between"/>
      </c:valAx>
      <c:dateAx>
        <c:axId val="1387585152"/>
        <c:scaling>
          <c:orientation val="minMax"/>
        </c:scaling>
        <c:delete val="1"/>
        <c:axPos val="b"/>
        <c:numFmt formatCode="mmm\-yy" sourceLinked="1"/>
        <c:majorTickMark val="out"/>
        <c:minorTickMark val="none"/>
        <c:tickLblPos val="nextTo"/>
        <c:crossAx val="1387584496"/>
        <c:crosses val="autoZero"/>
        <c:auto val="1"/>
        <c:lblOffset val="100"/>
        <c:baseTimeUnit val="months"/>
      </c:dateAx>
      <c:spPr>
        <a:noFill/>
        <a:ln>
          <a:solidFill>
            <a:srgbClr val="A4A4A4"/>
          </a:solidFill>
        </a:ln>
        <a:effectLst/>
      </c:spPr>
    </c:plotArea>
    <c:legend>
      <c:legendPos val="b"/>
      <c:layout>
        <c:manualLayout>
          <c:xMode val="edge"/>
          <c:yMode val="edge"/>
          <c:x val="8.5200161077082545E-2"/>
          <c:y val="0.89765361070234162"/>
          <c:w val="0.87057882344032944"/>
          <c:h val="5.421676324722233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9771400154710848E-2"/>
          <c:y val="1.4922988828121347E-2"/>
          <c:w val="0.88071006672509955"/>
          <c:h val="0.75099487055707659"/>
        </c:manualLayout>
      </c:layout>
      <c:lineChart>
        <c:grouping val="standard"/>
        <c:varyColors val="0"/>
        <c:ser>
          <c:idx val="0"/>
          <c:order val="0"/>
          <c:tx>
            <c:strRef>
              <c:f>'13.'!$B$7</c:f>
              <c:strCache>
                <c:ptCount val="1"/>
                <c:pt idx="0">
                  <c:v>Svenska storbanker</c:v>
                </c:pt>
              </c:strCache>
            </c:strRef>
          </c:tx>
          <c:spPr>
            <a:ln w="38100" cap="sq">
              <a:solidFill>
                <a:srgbClr val="4DAEC3"/>
              </a:solidFill>
              <a:prstDash val="solid"/>
              <a:round/>
            </a:ln>
            <a:effectLst/>
          </c:spPr>
          <c:marker>
            <c:symbol val="none"/>
          </c:marker>
          <c:cat>
            <c:numRef>
              <c:f>'13.'!$A$8:$A$29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'13.'!$B$8:$B$29</c:f>
              <c:numCache>
                <c:formatCode>0</c:formatCode>
                <c:ptCount val="22"/>
                <c:pt idx="0">
                  <c:v>13.699868701948581</c:v>
                </c:pt>
                <c:pt idx="1">
                  <c:v>12.69813636919363</c:v>
                </c:pt>
                <c:pt idx="2">
                  <c:v>11.923594350449594</c:v>
                </c:pt>
                <c:pt idx="3">
                  <c:v>11.865228772769811</c:v>
                </c:pt>
                <c:pt idx="4">
                  <c:v>9.6551707211860869</c:v>
                </c:pt>
                <c:pt idx="5">
                  <c:v>14.166592861862842</c:v>
                </c:pt>
                <c:pt idx="6">
                  <c:v>13.664045559108956</c:v>
                </c:pt>
                <c:pt idx="7">
                  <c:v>12.896461251994081</c:v>
                </c:pt>
                <c:pt idx="8">
                  <c:v>14.18982615717151</c:v>
                </c:pt>
                <c:pt idx="9">
                  <c:v>13.501272208987613</c:v>
                </c:pt>
                <c:pt idx="10">
                  <c:v>12.791414918385859</c:v>
                </c:pt>
                <c:pt idx="11">
                  <c:v>12.074386225706384</c:v>
                </c:pt>
                <c:pt idx="12">
                  <c:v>13.80358412304639</c:v>
                </c:pt>
                <c:pt idx="13">
                  <c:v>16.456073664175019</c:v>
                </c:pt>
                <c:pt idx="14">
                  <c:v>14.867364098133407</c:v>
                </c:pt>
                <c:pt idx="15">
                  <c:v>13.955813413070961</c:v>
                </c:pt>
                <c:pt idx="16">
                  <c:v>14.318002524840198</c:v>
                </c:pt>
                <c:pt idx="17">
                  <c:v>13.903674406802994</c:v>
                </c:pt>
                <c:pt idx="18">
                  <c:v>12.755030387397884</c:v>
                </c:pt>
                <c:pt idx="19">
                  <c:v>12.305095112502668</c:v>
                </c:pt>
                <c:pt idx="20">
                  <c:v>7.4578769999999999</c:v>
                </c:pt>
                <c:pt idx="21">
                  <c:v>7.1754530000000001</c:v>
                </c:pt>
              </c:numCache>
            </c:numRef>
          </c:val>
          <c:smooth val="0"/>
          <c:extLst>
            <c:ext xmlns:c16="http://schemas.microsoft.com/office/drawing/2014/chart" uri="{C3380CC4-5D6E-409C-BE32-E72D297353CC}">
              <c16:uniqueId val="{00000000-816A-4E2F-9D75-F9F54BBD83C5}"/>
            </c:ext>
          </c:extLst>
        </c:ser>
        <c:ser>
          <c:idx val="1"/>
          <c:order val="1"/>
          <c:tx>
            <c:strRef>
              <c:f>'13.'!$C$7</c:f>
              <c:strCache>
                <c:ptCount val="1"/>
                <c:pt idx="0">
                  <c:v>Nordiska storbanker</c:v>
                </c:pt>
              </c:strCache>
            </c:strRef>
          </c:tx>
          <c:spPr>
            <a:ln w="38100" cap="sq">
              <a:solidFill>
                <a:srgbClr val="E64848"/>
              </a:solidFill>
              <a:prstDash val="solid"/>
              <a:round/>
            </a:ln>
            <a:effectLst/>
          </c:spPr>
          <c:marker>
            <c:symbol val="none"/>
          </c:marker>
          <c:cat>
            <c:numRef>
              <c:f>'13.'!$A$8:$A$29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'13.'!$C$8:$C$29</c:f>
              <c:numCache>
                <c:formatCode>0</c:formatCode>
                <c:ptCount val="22"/>
                <c:pt idx="0">
                  <c:v>14.361901462541345</c:v>
                </c:pt>
                <c:pt idx="1">
                  <c:v>12.19546761211905</c:v>
                </c:pt>
                <c:pt idx="2">
                  <c:v>10.805912694916035</c:v>
                </c:pt>
                <c:pt idx="3">
                  <c:v>8.2197051725269237</c:v>
                </c:pt>
                <c:pt idx="4">
                  <c:v>11.16412230562163</c:v>
                </c:pt>
                <c:pt idx="5">
                  <c:v>11.928581658259622</c:v>
                </c:pt>
                <c:pt idx="6">
                  <c:v>11.198554010662814</c:v>
                </c:pt>
                <c:pt idx="7">
                  <c:v>13.139891036252136</c:v>
                </c:pt>
                <c:pt idx="8">
                  <c:v>11.174315567188632</c:v>
                </c:pt>
                <c:pt idx="9">
                  <c:v>10.414622028570557</c:v>
                </c:pt>
                <c:pt idx="10">
                  <c:v>11.066612701697171</c:v>
                </c:pt>
                <c:pt idx="11">
                  <c:v>10.644672963404819</c:v>
                </c:pt>
                <c:pt idx="12">
                  <c:v>10.567446430059857</c:v>
                </c:pt>
                <c:pt idx="13">
                  <c:v>12.073715650051716</c:v>
                </c:pt>
                <c:pt idx="14">
                  <c:v>8.1013746105040561</c:v>
                </c:pt>
                <c:pt idx="15">
                  <c:v>8.2363450771880586</c:v>
                </c:pt>
                <c:pt idx="16">
                  <c:v>7.8991612616242746</c:v>
                </c:pt>
                <c:pt idx="17">
                  <c:v>9.7071022870959247</c:v>
                </c:pt>
                <c:pt idx="18">
                  <c:v>3.1967301081690276</c:v>
                </c:pt>
                <c:pt idx="19">
                  <c:v>10.62845414377319</c:v>
                </c:pt>
                <c:pt idx="20">
                  <c:v>2.6258170689180416</c:v>
                </c:pt>
                <c:pt idx="21">
                  <c:v>5.1092161320073561</c:v>
                </c:pt>
              </c:numCache>
            </c:numRef>
          </c:val>
          <c:smooth val="0"/>
          <c:extLst>
            <c:ext xmlns:c16="http://schemas.microsoft.com/office/drawing/2014/chart" uri="{C3380CC4-5D6E-409C-BE32-E72D297353CC}">
              <c16:uniqueId val="{00000001-816A-4E2F-9D75-F9F54BBD83C5}"/>
            </c:ext>
          </c:extLst>
        </c:ser>
        <c:ser>
          <c:idx val="2"/>
          <c:order val="2"/>
          <c:tx>
            <c:strRef>
              <c:f>'13.'!$D$7</c:f>
              <c:strCache>
                <c:ptCount val="1"/>
                <c:pt idx="0">
                  <c:v>EU-banker</c:v>
                </c:pt>
              </c:strCache>
            </c:strRef>
          </c:tx>
          <c:spPr>
            <a:ln w="38100" cap="rnd">
              <a:solidFill>
                <a:srgbClr val="98BF0C"/>
              </a:solidFill>
              <a:prstDash val="solid"/>
              <a:round/>
            </a:ln>
            <a:effectLst/>
          </c:spPr>
          <c:marker>
            <c:symbol val="none"/>
          </c:marker>
          <c:cat>
            <c:numRef>
              <c:f>'13.'!$A$8:$A$29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'13.'!$D$8:$D$29</c:f>
              <c:numCache>
                <c:formatCode>0</c:formatCode>
                <c:ptCount val="22"/>
                <c:pt idx="0">
                  <c:v>6.8930869500000007</c:v>
                </c:pt>
                <c:pt idx="1">
                  <c:v>6.8181610299999997</c:v>
                </c:pt>
                <c:pt idx="2">
                  <c:v>6.3858144299999999</c:v>
                </c:pt>
                <c:pt idx="3">
                  <c:v>4.4620201999999995</c:v>
                </c:pt>
                <c:pt idx="4">
                  <c:v>5.6481311500000002</c:v>
                </c:pt>
                <c:pt idx="5">
                  <c:v>5.6797565600000004</c:v>
                </c:pt>
                <c:pt idx="6">
                  <c:v>5.3705120900000001</c:v>
                </c:pt>
                <c:pt idx="7">
                  <c:v>3.3025130299999996</c:v>
                </c:pt>
                <c:pt idx="8">
                  <c:v>7.3096017147463002</c:v>
                </c:pt>
                <c:pt idx="9">
                  <c:v>7.100009104920038</c:v>
                </c:pt>
                <c:pt idx="10">
                  <c:v>7.1878955796035191</c:v>
                </c:pt>
                <c:pt idx="11">
                  <c:v>6.0438881303139009</c:v>
                </c:pt>
                <c:pt idx="12">
                  <c:v>6.7524740819046301</c:v>
                </c:pt>
                <c:pt idx="13">
                  <c:v>7.2217398555072378</c:v>
                </c:pt>
                <c:pt idx="14">
                  <c:v>7.2491457447490966</c:v>
                </c:pt>
                <c:pt idx="15">
                  <c:v>6.5</c:v>
                </c:pt>
                <c:pt idx="16">
                  <c:v>6.8</c:v>
                </c:pt>
                <c:pt idx="17">
                  <c:v>7</c:v>
                </c:pt>
                <c:pt idx="18">
                  <c:v>6.6</c:v>
                </c:pt>
                <c:pt idx="19">
                  <c:v>5.8</c:v>
                </c:pt>
                <c:pt idx="20">
                  <c:v>1.29015217</c:v>
                </c:pt>
                <c:pt idx="21">
                  <c:v>0.47924198095064002</c:v>
                </c:pt>
              </c:numCache>
            </c:numRef>
          </c:val>
          <c:smooth val="0"/>
          <c:extLst>
            <c:ext xmlns:c16="http://schemas.microsoft.com/office/drawing/2014/chart" uri="{C3380CC4-5D6E-409C-BE32-E72D297353CC}">
              <c16:uniqueId val="{00000002-816A-4E2F-9D75-F9F54BBD83C5}"/>
            </c:ext>
          </c:extLst>
        </c:ser>
        <c:ser>
          <c:idx val="3"/>
          <c:order val="3"/>
          <c:tx>
            <c:strRef>
              <c:f>'13.'!$E$7</c:f>
              <c:strCache>
                <c:ptCount val="1"/>
                <c:pt idx="0">
                  <c:v>Svenska storbanker, glidande medelvärde</c:v>
                </c:pt>
              </c:strCache>
            </c:strRef>
          </c:tx>
          <c:spPr>
            <a:ln w="38100" cap="rnd">
              <a:solidFill>
                <a:srgbClr val="4DAEC3"/>
              </a:solidFill>
              <a:prstDash val="dash"/>
              <a:round/>
            </a:ln>
            <a:effectLst/>
          </c:spPr>
          <c:marker>
            <c:symbol val="none"/>
          </c:marker>
          <c:cat>
            <c:numRef>
              <c:f>'13.'!$A$8:$A$29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'13.'!$E$8:$E$29</c:f>
              <c:numCache>
                <c:formatCode>0</c:formatCode>
                <c:ptCount val="22"/>
                <c:pt idx="0">
                  <c:v>14.051439916995282</c:v>
                </c:pt>
                <c:pt idx="1">
                  <c:v>13.50497929878005</c:v>
                </c:pt>
                <c:pt idx="2">
                  <c:v>13.006020190369771</c:v>
                </c:pt>
                <c:pt idx="3">
                  <c:v>12.546707048590406</c:v>
                </c:pt>
                <c:pt idx="4">
                  <c:v>11.535532553399779</c:v>
                </c:pt>
                <c:pt idx="5">
                  <c:v>11.902646676567082</c:v>
                </c:pt>
                <c:pt idx="6">
                  <c:v>12.337759478731924</c:v>
                </c:pt>
                <c:pt idx="7">
                  <c:v>12.59556759853799</c:v>
                </c:pt>
                <c:pt idx="8">
                  <c:v>13.729231457534347</c:v>
                </c:pt>
                <c:pt idx="9">
                  <c:v>13.562901294315537</c:v>
                </c:pt>
                <c:pt idx="10">
                  <c:v>13.344743634134765</c:v>
                </c:pt>
                <c:pt idx="11">
                  <c:v>13.139224877562841</c:v>
                </c:pt>
                <c:pt idx="12">
                  <c:v>13.042664369031561</c:v>
                </c:pt>
                <c:pt idx="13">
                  <c:v>13.781364732828413</c:v>
                </c:pt>
                <c:pt idx="14">
                  <c:v>14.300352027765301</c:v>
                </c:pt>
                <c:pt idx="15">
                  <c:v>14.770708824606443</c:v>
                </c:pt>
                <c:pt idx="16">
                  <c:v>14.899313425054897</c:v>
                </c:pt>
                <c:pt idx="17">
                  <c:v>14.26121361071189</c:v>
                </c:pt>
                <c:pt idx="18">
                  <c:v>13.733130183028008</c:v>
                </c:pt>
                <c:pt idx="19">
                  <c:v>13.320450607885936</c:v>
                </c:pt>
                <c:pt idx="20">
                  <c:v>11.605420000000001</c:v>
                </c:pt>
                <c:pt idx="21">
                  <c:v>9.9233639999999994</c:v>
                </c:pt>
              </c:numCache>
            </c:numRef>
          </c:val>
          <c:smooth val="0"/>
          <c:extLst>
            <c:ext xmlns:c16="http://schemas.microsoft.com/office/drawing/2014/chart" uri="{C3380CC4-5D6E-409C-BE32-E72D297353CC}">
              <c16:uniqueId val="{00000003-816A-4E2F-9D75-F9F54BBD83C5}"/>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99999"/>
        <c:auto val="1"/>
        <c:lblOffset val="0"/>
        <c:baseTimeUnit val="months"/>
        <c:majorUnit val="12"/>
        <c:majorTimeUnit val="months"/>
      </c:dateAx>
      <c:valAx>
        <c:axId val="517737456"/>
        <c:scaling>
          <c:orientation val="minMax"/>
        </c:scaling>
        <c:delete val="0"/>
        <c:axPos val="l"/>
        <c:majorGridlines>
          <c:spPr>
            <a:ln w="317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5"/>
      </c:valAx>
      <c:spPr>
        <a:noFill/>
        <a:ln>
          <a:solidFill>
            <a:srgbClr val="A4A4A4"/>
          </a:solidFill>
        </a:ln>
        <a:effectLst/>
      </c:spPr>
    </c:plotArea>
    <c:legend>
      <c:legendPos val="b"/>
      <c:layout>
        <c:manualLayout>
          <c:xMode val="edge"/>
          <c:yMode val="edge"/>
          <c:x val="0"/>
          <c:y val="0.80427846543220449"/>
          <c:w val="1"/>
          <c:h val="0.1513345972926104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317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2"/>
          <c:order val="0"/>
          <c:tx>
            <c:strRef>
              <c:f>'14.'!$D$7</c:f>
              <c:strCache>
                <c:ptCount val="1"/>
                <c:pt idx="0">
                  <c:v>EU-banker</c:v>
                </c:pt>
              </c:strCache>
            </c:strRef>
          </c:tx>
          <c:spPr>
            <a:ln w="38100" cap="rnd">
              <a:solidFill>
                <a:srgbClr val="98BF0C"/>
              </a:solidFill>
              <a:prstDash val="solid"/>
              <a:round/>
            </a:ln>
            <a:effectLst/>
          </c:spPr>
          <c:marker>
            <c:symbol val="none"/>
          </c:marker>
          <c:cat>
            <c:numRef>
              <c:f>'14.'!$A$8:$A$29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'14.'!$D$8:$D$29</c:f>
              <c:numCache>
                <c:formatCode>0</c:formatCode>
                <c:ptCount val="22"/>
                <c:pt idx="0">
                  <c:v>60.927604970000004</c:v>
                </c:pt>
                <c:pt idx="1">
                  <c:v>59.311574159999999</c:v>
                </c:pt>
                <c:pt idx="2">
                  <c:v>59.938106840000003</c:v>
                </c:pt>
                <c:pt idx="3">
                  <c:v>62.805818199999997</c:v>
                </c:pt>
                <c:pt idx="4">
                  <c:v>65.996790860000004</c:v>
                </c:pt>
                <c:pt idx="5">
                  <c:v>62.684163739999995</c:v>
                </c:pt>
                <c:pt idx="6">
                  <c:v>63.026307329999995</c:v>
                </c:pt>
                <c:pt idx="7">
                  <c:v>65.706389669999993</c:v>
                </c:pt>
                <c:pt idx="8">
                  <c:v>63.895539496289288</c:v>
                </c:pt>
                <c:pt idx="9">
                  <c:v>61.555518731322721</c:v>
                </c:pt>
                <c:pt idx="10">
                  <c:v>61.706182119654187</c:v>
                </c:pt>
                <c:pt idx="11">
                  <c:v>63.351302698906494</c:v>
                </c:pt>
                <c:pt idx="12">
                  <c:v>65.016477733088593</c:v>
                </c:pt>
                <c:pt idx="13">
                  <c:v>63.75496420404437</c:v>
                </c:pt>
                <c:pt idx="14">
                  <c:v>63.197745544473079</c:v>
                </c:pt>
                <c:pt idx="15">
                  <c:v>64.599999999999994</c:v>
                </c:pt>
                <c:pt idx="16">
                  <c:v>66.3</c:v>
                </c:pt>
                <c:pt idx="17">
                  <c:v>64.099999999999994</c:v>
                </c:pt>
                <c:pt idx="18">
                  <c:v>63.2</c:v>
                </c:pt>
                <c:pt idx="19">
                  <c:v>64</c:v>
                </c:pt>
                <c:pt idx="20">
                  <c:v>71.7</c:v>
                </c:pt>
                <c:pt idx="21">
                  <c:v>66.670883395688989</c:v>
                </c:pt>
              </c:numCache>
            </c:numRef>
          </c:val>
          <c:smooth val="0"/>
          <c:extLst>
            <c:ext xmlns:c16="http://schemas.microsoft.com/office/drawing/2014/chart" uri="{C3380CC4-5D6E-409C-BE32-E72D297353CC}">
              <c16:uniqueId val="{00000000-0DED-464B-82D6-977361FF0853}"/>
            </c:ext>
          </c:extLst>
        </c:ser>
        <c:ser>
          <c:idx val="1"/>
          <c:order val="1"/>
          <c:tx>
            <c:strRef>
              <c:f>'14.'!$C$7</c:f>
              <c:strCache>
                <c:ptCount val="1"/>
                <c:pt idx="0">
                  <c:v>Nordiska storbanker</c:v>
                </c:pt>
              </c:strCache>
            </c:strRef>
          </c:tx>
          <c:spPr>
            <a:ln w="38100" cap="sq">
              <a:solidFill>
                <a:srgbClr val="E64848"/>
              </a:solidFill>
              <a:prstDash val="solid"/>
              <a:round/>
            </a:ln>
            <a:effectLst/>
          </c:spPr>
          <c:marker>
            <c:symbol val="none"/>
          </c:marker>
          <c:cat>
            <c:numRef>
              <c:f>'14.'!$A$8:$A$29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'14.'!$C$8:$C$29</c:f>
              <c:numCache>
                <c:formatCode>0</c:formatCode>
                <c:ptCount val="22"/>
                <c:pt idx="0">
                  <c:v>43.194940253387834</c:v>
                </c:pt>
                <c:pt idx="1">
                  <c:v>47.91811605005114</c:v>
                </c:pt>
                <c:pt idx="2">
                  <c:v>49.292463467407842</c:v>
                </c:pt>
                <c:pt idx="3">
                  <c:v>50.604610973742197</c:v>
                </c:pt>
                <c:pt idx="4">
                  <c:v>49.176589012116779</c:v>
                </c:pt>
                <c:pt idx="5">
                  <c:v>49.801271567094417</c:v>
                </c:pt>
                <c:pt idx="6">
                  <c:v>47.152817980411236</c:v>
                </c:pt>
                <c:pt idx="7">
                  <c:v>49.075049295785725</c:v>
                </c:pt>
                <c:pt idx="8">
                  <c:v>48.159234478650838</c:v>
                </c:pt>
                <c:pt idx="9">
                  <c:v>50.670916256536742</c:v>
                </c:pt>
                <c:pt idx="10">
                  <c:v>48.640361809385489</c:v>
                </c:pt>
                <c:pt idx="11">
                  <c:v>52.330286472046275</c:v>
                </c:pt>
                <c:pt idx="12">
                  <c:v>50.125583914953793</c:v>
                </c:pt>
                <c:pt idx="13">
                  <c:v>51.165821845276952</c:v>
                </c:pt>
                <c:pt idx="14">
                  <c:v>52.789264102162392</c:v>
                </c:pt>
                <c:pt idx="15">
                  <c:v>58.754746818802104</c:v>
                </c:pt>
                <c:pt idx="16">
                  <c:v>53.982715981461574</c:v>
                </c:pt>
                <c:pt idx="17">
                  <c:v>58.242698921960141</c:v>
                </c:pt>
                <c:pt idx="18">
                  <c:v>75.255737644621377</c:v>
                </c:pt>
                <c:pt idx="19">
                  <c:v>53.534708951128081</c:v>
                </c:pt>
                <c:pt idx="20">
                  <c:v>58.11661076317516</c:v>
                </c:pt>
                <c:pt idx="21">
                  <c:v>53.992238326663781</c:v>
                </c:pt>
              </c:numCache>
            </c:numRef>
          </c:val>
          <c:smooth val="0"/>
          <c:extLst>
            <c:ext xmlns:c16="http://schemas.microsoft.com/office/drawing/2014/chart" uri="{C3380CC4-5D6E-409C-BE32-E72D297353CC}">
              <c16:uniqueId val="{00000001-0DED-464B-82D6-977361FF0853}"/>
            </c:ext>
          </c:extLst>
        </c:ser>
        <c:ser>
          <c:idx val="0"/>
          <c:order val="2"/>
          <c:tx>
            <c:strRef>
              <c:f>'14.'!$B$7</c:f>
              <c:strCache>
                <c:ptCount val="1"/>
                <c:pt idx="0">
                  <c:v>Svenska storbanker</c:v>
                </c:pt>
              </c:strCache>
            </c:strRef>
          </c:tx>
          <c:spPr>
            <a:ln w="38100" cap="sq">
              <a:solidFill>
                <a:srgbClr val="4DAEC3"/>
              </a:solidFill>
              <a:prstDash val="solid"/>
              <a:round/>
            </a:ln>
            <a:effectLst/>
          </c:spPr>
          <c:marker>
            <c:symbol val="none"/>
          </c:marker>
          <c:cat>
            <c:numRef>
              <c:f>'14.'!$A$8:$A$29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'14.'!$B$8:$B$29</c:f>
              <c:numCache>
                <c:formatCode>0</c:formatCode>
                <c:ptCount val="22"/>
                <c:pt idx="0">
                  <c:v>44.166930836451733</c:v>
                </c:pt>
                <c:pt idx="1">
                  <c:v>45.017662548234277</c:v>
                </c:pt>
                <c:pt idx="2">
                  <c:v>45.128993046979552</c:v>
                </c:pt>
                <c:pt idx="3">
                  <c:v>45.112211844947637</c:v>
                </c:pt>
                <c:pt idx="4">
                  <c:v>49.522522847709745</c:v>
                </c:pt>
                <c:pt idx="5">
                  <c:v>44.875854771411809</c:v>
                </c:pt>
                <c:pt idx="6">
                  <c:v>44.009710711134112</c:v>
                </c:pt>
                <c:pt idx="7">
                  <c:v>43.933095044143769</c:v>
                </c:pt>
                <c:pt idx="8">
                  <c:v>43.2908822960731</c:v>
                </c:pt>
                <c:pt idx="9">
                  <c:v>43.338333641413826</c:v>
                </c:pt>
                <c:pt idx="10">
                  <c:v>42.798249469888447</c:v>
                </c:pt>
                <c:pt idx="11">
                  <c:v>43.933978155719245</c:v>
                </c:pt>
                <c:pt idx="12">
                  <c:v>43.026144206909592</c:v>
                </c:pt>
                <c:pt idx="13">
                  <c:v>40.460204748864641</c:v>
                </c:pt>
                <c:pt idx="14">
                  <c:v>41.206577820518895</c:v>
                </c:pt>
                <c:pt idx="15">
                  <c:v>41.93370757083332</c:v>
                </c:pt>
                <c:pt idx="16">
                  <c:v>38.681926297817256</c:v>
                </c:pt>
                <c:pt idx="17">
                  <c:v>40.068231335506312</c:v>
                </c:pt>
                <c:pt idx="18">
                  <c:v>42.099588922463234</c:v>
                </c:pt>
                <c:pt idx="19">
                  <c:v>42.167397364173326</c:v>
                </c:pt>
                <c:pt idx="20">
                  <c:v>47.522116693485799</c:v>
                </c:pt>
                <c:pt idx="21">
                  <c:v>46.484292613099989</c:v>
                </c:pt>
              </c:numCache>
            </c:numRef>
          </c:val>
          <c:smooth val="0"/>
          <c:extLst>
            <c:ext xmlns:c16="http://schemas.microsoft.com/office/drawing/2014/chart" uri="{C3380CC4-5D6E-409C-BE32-E72D297353CC}">
              <c16:uniqueId val="{00000002-0DED-464B-82D6-977361FF0853}"/>
            </c:ext>
          </c:extLst>
        </c:ser>
        <c:ser>
          <c:idx val="3"/>
          <c:order val="3"/>
          <c:tx>
            <c:strRef>
              <c:f>'14.'!$E$7</c:f>
              <c:strCache>
                <c:ptCount val="1"/>
                <c:pt idx="0">
                  <c:v>Svenska storbanker, glidande medelvärde</c:v>
                </c:pt>
              </c:strCache>
            </c:strRef>
          </c:tx>
          <c:spPr>
            <a:ln w="38100" cap="rnd">
              <a:solidFill>
                <a:srgbClr val="4DAEC3"/>
              </a:solidFill>
              <a:prstDash val="dash"/>
              <a:round/>
            </a:ln>
            <a:effectLst/>
          </c:spPr>
          <c:marker>
            <c:symbol val="none"/>
          </c:marker>
          <c:cat>
            <c:numRef>
              <c:f>'14.'!$A$8:$A$29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'14.'!$E$8:$E$29</c:f>
              <c:numCache>
                <c:formatCode>0</c:formatCode>
                <c:ptCount val="22"/>
                <c:pt idx="0">
                  <c:v>45.476839787029263</c:v>
                </c:pt>
                <c:pt idx="1">
                  <c:v>44.30332880319974</c:v>
                </c:pt>
                <c:pt idx="2">
                  <c:v>44.502578022068704</c:v>
                </c:pt>
                <c:pt idx="3">
                  <c:v>44.856449569153298</c:v>
                </c:pt>
                <c:pt idx="4">
                  <c:v>46.195347571967801</c:v>
                </c:pt>
                <c:pt idx="5">
                  <c:v>46.159895627762189</c:v>
                </c:pt>
                <c:pt idx="6">
                  <c:v>45.880075043800822</c:v>
                </c:pt>
                <c:pt idx="7">
                  <c:v>45.585295843599859</c:v>
                </c:pt>
                <c:pt idx="8">
                  <c:v>44.027385705690698</c:v>
                </c:pt>
                <c:pt idx="9">
                  <c:v>43.643005423191198</c:v>
                </c:pt>
                <c:pt idx="10">
                  <c:v>43.34014011287978</c:v>
                </c:pt>
                <c:pt idx="11">
                  <c:v>43.340360890773653</c:v>
                </c:pt>
                <c:pt idx="12">
                  <c:v>43.274176368482777</c:v>
                </c:pt>
                <c:pt idx="13">
                  <c:v>42.554644145345485</c:v>
                </c:pt>
                <c:pt idx="14">
                  <c:v>42.156726233003091</c:v>
                </c:pt>
                <c:pt idx="15">
                  <c:v>41.656658586781617</c:v>
                </c:pt>
                <c:pt idx="16">
                  <c:v>40.57060410950853</c:v>
                </c:pt>
                <c:pt idx="17">
                  <c:v>40.472610756168947</c:v>
                </c:pt>
                <c:pt idx="18">
                  <c:v>40.695863531655036</c:v>
                </c:pt>
                <c:pt idx="19">
                  <c:v>40.75428597999003</c:v>
                </c:pt>
                <c:pt idx="20">
                  <c:v>42.964333578907166</c:v>
                </c:pt>
                <c:pt idx="21">
                  <c:v>44.568348898305587</c:v>
                </c:pt>
              </c:numCache>
            </c:numRef>
          </c:val>
          <c:smooth val="0"/>
          <c:extLst>
            <c:ext xmlns:c16="http://schemas.microsoft.com/office/drawing/2014/chart" uri="{C3380CC4-5D6E-409C-BE32-E72D297353CC}">
              <c16:uniqueId val="{00000003-0DED-464B-82D6-977361FF0853}"/>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in val="30"/>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10"/>
      </c:valAx>
      <c:spPr>
        <a:noFill/>
        <a:ln>
          <a:solidFill>
            <a:srgbClr val="A4A4A4"/>
          </a:solidFill>
        </a:ln>
        <a:effectLst/>
      </c:spPr>
    </c:plotArea>
    <c:legend>
      <c:legendPos val="b"/>
      <c:layout>
        <c:manualLayout>
          <c:xMode val="edge"/>
          <c:yMode val="edge"/>
          <c:x val="1.1659082893933274E-2"/>
          <c:y val="0.87751314823034376"/>
          <c:w val="0.98834091710606675"/>
          <c:h val="0.10041023367372179"/>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2"/>
          <c:order val="0"/>
          <c:tx>
            <c:strRef>
              <c:f>'15.'!$B$7</c:f>
              <c:strCache>
                <c:ptCount val="1"/>
                <c:pt idx="0">
                  <c:v>Intäkter</c:v>
                </c:pt>
              </c:strCache>
            </c:strRef>
          </c:tx>
          <c:spPr>
            <a:ln w="38100" cap="sq">
              <a:solidFill>
                <a:srgbClr val="4DAEC3"/>
              </a:solidFill>
              <a:prstDash val="solid"/>
              <a:round/>
            </a:ln>
            <a:effectLst/>
          </c:spPr>
          <c:marker>
            <c:symbol val="none"/>
          </c:marker>
          <c:cat>
            <c:numRef>
              <c:f>'15.'!$A$8:$A$29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'15.'!$B$8:$B$29</c:f>
              <c:numCache>
                <c:formatCode>0</c:formatCode>
                <c:ptCount val="22"/>
                <c:pt idx="0">
                  <c:v>100</c:v>
                </c:pt>
                <c:pt idx="1">
                  <c:v>99.986665493409816</c:v>
                </c:pt>
                <c:pt idx="2">
                  <c:v>97.973164017423571</c:v>
                </c:pt>
                <c:pt idx="3">
                  <c:v>99.305407630416624</c:v>
                </c:pt>
                <c:pt idx="4">
                  <c:v>94.942501206019486</c:v>
                </c:pt>
                <c:pt idx="5">
                  <c:v>100.8113698164175</c:v>
                </c:pt>
                <c:pt idx="6">
                  <c:v>101.32583521998978</c:v>
                </c:pt>
                <c:pt idx="7">
                  <c:v>102.89742824221344</c:v>
                </c:pt>
                <c:pt idx="8">
                  <c:v>102.43392183872346</c:v>
                </c:pt>
                <c:pt idx="9">
                  <c:v>103.62688120848982</c:v>
                </c:pt>
                <c:pt idx="10">
                  <c:v>103.7794485243591</c:v>
                </c:pt>
                <c:pt idx="11">
                  <c:v>106.01801944073365</c:v>
                </c:pt>
                <c:pt idx="12">
                  <c:v>107.76044638995405</c:v>
                </c:pt>
                <c:pt idx="13">
                  <c:v>116.12793719687993</c:v>
                </c:pt>
                <c:pt idx="14">
                  <c:v>113.6726342590563</c:v>
                </c:pt>
                <c:pt idx="15">
                  <c:v>113.22494369935147</c:v>
                </c:pt>
                <c:pt idx="16">
                  <c:v>114.16336385154189</c:v>
                </c:pt>
                <c:pt idx="17">
                  <c:v>116.06241189147315</c:v>
                </c:pt>
                <c:pt idx="18">
                  <c:v>115.04453164251147</c:v>
                </c:pt>
                <c:pt idx="19">
                  <c:v>117.44329746751703</c:v>
                </c:pt>
                <c:pt idx="20">
                  <c:v>106.2382312718354</c:v>
                </c:pt>
                <c:pt idx="21">
                  <c:v>110.35751563235685</c:v>
                </c:pt>
              </c:numCache>
            </c:numRef>
          </c:val>
          <c:smooth val="0"/>
          <c:extLst>
            <c:ext xmlns:c16="http://schemas.microsoft.com/office/drawing/2014/chart" uri="{C3380CC4-5D6E-409C-BE32-E72D297353CC}">
              <c16:uniqueId val="{00000000-ABD3-43B3-8E88-DC0117BFC247}"/>
            </c:ext>
          </c:extLst>
        </c:ser>
        <c:ser>
          <c:idx val="1"/>
          <c:order val="1"/>
          <c:tx>
            <c:strRef>
              <c:f>'15.'!$C$7</c:f>
              <c:strCache>
                <c:ptCount val="1"/>
                <c:pt idx="0">
                  <c:v>Kostnader</c:v>
                </c:pt>
              </c:strCache>
            </c:strRef>
          </c:tx>
          <c:spPr>
            <a:ln w="38100" cap="sq">
              <a:solidFill>
                <a:srgbClr val="E64848"/>
              </a:solidFill>
              <a:prstDash val="solid"/>
              <a:round/>
            </a:ln>
            <a:effectLst/>
          </c:spPr>
          <c:marker>
            <c:symbol val="none"/>
          </c:marker>
          <c:cat>
            <c:numRef>
              <c:f>'15.'!$A$8:$A$29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'15.'!$C$8:$C$29</c:f>
              <c:numCache>
                <c:formatCode>0</c:formatCode>
                <c:ptCount val="22"/>
                <c:pt idx="0">
                  <c:v>100</c:v>
                </c:pt>
                <c:pt idx="1">
                  <c:v>101.91258213465477</c:v>
                </c:pt>
                <c:pt idx="2">
                  <c:v>100.10725567744933</c:v>
                </c:pt>
                <c:pt idx="3">
                  <c:v>101.43078773032845</c:v>
                </c:pt>
                <c:pt idx="4">
                  <c:v>106.45503538845267</c:v>
                </c:pt>
                <c:pt idx="5">
                  <c:v>102.42949431874283</c:v>
                </c:pt>
                <c:pt idx="6">
                  <c:v>100.96514770538325</c:v>
                </c:pt>
                <c:pt idx="7">
                  <c:v>102.35265184041711</c:v>
                </c:pt>
                <c:pt idx="8">
                  <c:v>100.40215087314823</c:v>
                </c:pt>
                <c:pt idx="9">
                  <c:v>101.6827809173051</c:v>
                </c:pt>
                <c:pt idx="10">
                  <c:v>100.5634451766627</c:v>
                </c:pt>
                <c:pt idx="11">
                  <c:v>105.45884130978949</c:v>
                </c:pt>
                <c:pt idx="12">
                  <c:v>104.97710432594778</c:v>
                </c:pt>
                <c:pt idx="13">
                  <c:v>106.38185690211586</c:v>
                </c:pt>
                <c:pt idx="14">
                  <c:v>106.05356000406869</c:v>
                </c:pt>
                <c:pt idx="15">
                  <c:v>107.49992333391012</c:v>
                </c:pt>
                <c:pt idx="16">
                  <c:v>99.985639544860291</c:v>
                </c:pt>
                <c:pt idx="17">
                  <c:v>105.29179820632446</c:v>
                </c:pt>
                <c:pt idx="18">
                  <c:v>109.65958915872336</c:v>
                </c:pt>
                <c:pt idx="19">
                  <c:v>112.12638275477364</c:v>
                </c:pt>
                <c:pt idx="20">
                  <c:v>114.30872664674601</c:v>
                </c:pt>
                <c:pt idx="21">
                  <c:v>116.147781871124</c:v>
                </c:pt>
              </c:numCache>
            </c:numRef>
          </c:val>
          <c:smooth val="0"/>
          <c:extLst>
            <c:ext xmlns:c16="http://schemas.microsoft.com/office/drawing/2014/chart" uri="{C3380CC4-5D6E-409C-BE32-E72D297353CC}">
              <c16:uniqueId val="{00000001-ABD3-43B3-8E88-DC0117BFC247}"/>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in val="80"/>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10"/>
      </c:valAx>
      <c:spPr>
        <a:noFill/>
        <a:ln>
          <a:solidFill>
            <a:srgbClr val="A4A4A4"/>
          </a:solidFill>
        </a:ln>
        <a:effectLst/>
      </c:spPr>
    </c:plotArea>
    <c:legend>
      <c:legendPos val="b"/>
      <c:layout>
        <c:manualLayout>
          <c:xMode val="edge"/>
          <c:yMode val="edge"/>
          <c:x val="0.12425356030176131"/>
          <c:y val="0.88098805348769493"/>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1"/>
          <c:order val="0"/>
          <c:tx>
            <c:strRef>
              <c:f>'16.'!$C$7</c:f>
              <c:strCache>
                <c:ptCount val="1"/>
                <c:pt idx="0">
                  <c:v>Nordiska storbanker</c:v>
                </c:pt>
              </c:strCache>
            </c:strRef>
          </c:tx>
          <c:spPr>
            <a:ln w="38100" cap="sq">
              <a:solidFill>
                <a:srgbClr val="E64848"/>
              </a:solidFill>
              <a:prstDash val="solid"/>
              <a:round/>
            </a:ln>
            <a:effectLst/>
          </c:spPr>
          <c:marker>
            <c:symbol val="none"/>
          </c:marker>
          <c:cat>
            <c:numRef>
              <c:f>'16.'!$A$8:$A$29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'16.'!$C$8:$C$29</c:f>
              <c:numCache>
                <c:formatCode>0.0</c:formatCode>
                <c:ptCount val="22"/>
                <c:pt idx="0">
                  <c:v>1.8038326418702888</c:v>
                </c:pt>
                <c:pt idx="1">
                  <c:v>1.8196778744063391</c:v>
                </c:pt>
                <c:pt idx="2">
                  <c:v>1.8272063160296326</c:v>
                </c:pt>
                <c:pt idx="3">
                  <c:v>1.7949466108352061</c:v>
                </c:pt>
                <c:pt idx="4">
                  <c:v>1.7380358596272905</c:v>
                </c:pt>
                <c:pt idx="5">
                  <c:v>1.6868968888122255</c:v>
                </c:pt>
                <c:pt idx="6">
                  <c:v>1.7150183716916612</c:v>
                </c:pt>
                <c:pt idx="7">
                  <c:v>1.7206074601414263</c:v>
                </c:pt>
                <c:pt idx="8">
                  <c:v>1.7022447730048129</c:v>
                </c:pt>
                <c:pt idx="9">
                  <c:v>1.7166573684504476</c:v>
                </c:pt>
                <c:pt idx="10">
                  <c:v>1.7171696150700813</c:v>
                </c:pt>
                <c:pt idx="11">
                  <c:v>1.7267785171906653</c:v>
                </c:pt>
                <c:pt idx="12">
                  <c:v>1.70123494508163</c:v>
                </c:pt>
                <c:pt idx="13">
                  <c:v>1.6565214792880918</c:v>
                </c:pt>
                <c:pt idx="14">
                  <c:v>1.6066873377999675</c:v>
                </c:pt>
                <c:pt idx="15">
                  <c:v>1.6578410919058386</c:v>
                </c:pt>
                <c:pt idx="16">
                  <c:v>1.58294763620297</c:v>
                </c:pt>
                <c:pt idx="17">
                  <c:v>1.5767317462216059</c:v>
                </c:pt>
                <c:pt idx="18">
                  <c:v>1.5437179385941997</c:v>
                </c:pt>
                <c:pt idx="19">
                  <c:v>1.5409999738790874</c:v>
                </c:pt>
                <c:pt idx="20">
                  <c:v>1.5867114776854736</c:v>
                </c:pt>
                <c:pt idx="21">
                  <c:v>1.5558358646327843</c:v>
                </c:pt>
              </c:numCache>
            </c:numRef>
          </c:val>
          <c:smooth val="0"/>
          <c:extLst>
            <c:ext xmlns:c16="http://schemas.microsoft.com/office/drawing/2014/chart" uri="{C3380CC4-5D6E-409C-BE32-E72D297353CC}">
              <c16:uniqueId val="{00000000-A196-426C-ADF3-420D6610342E}"/>
            </c:ext>
          </c:extLst>
        </c:ser>
        <c:ser>
          <c:idx val="2"/>
          <c:order val="1"/>
          <c:tx>
            <c:strRef>
              <c:f>'16.'!$D$7</c:f>
              <c:strCache>
                <c:ptCount val="1"/>
                <c:pt idx="0">
                  <c:v>EU-banker</c:v>
                </c:pt>
              </c:strCache>
            </c:strRef>
          </c:tx>
          <c:spPr>
            <a:ln w="38100" cap="rnd">
              <a:solidFill>
                <a:srgbClr val="98BF0C"/>
              </a:solidFill>
              <a:prstDash val="solid"/>
              <a:round/>
            </a:ln>
            <a:effectLst/>
          </c:spPr>
          <c:marker>
            <c:symbol val="none"/>
          </c:marker>
          <c:cat>
            <c:numRef>
              <c:f>'16.'!$A$8:$A$29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'16.'!$D$8:$D$29</c:f>
              <c:numCache>
                <c:formatCode>0.0</c:formatCode>
                <c:ptCount val="22"/>
                <c:pt idx="0">
                  <c:v>1.5504862899999998</c:v>
                </c:pt>
                <c:pt idx="1">
                  <c:v>1.57343301</c:v>
                </c:pt>
                <c:pt idx="2">
                  <c:v>1.5728104400000003</c:v>
                </c:pt>
                <c:pt idx="3">
                  <c:v>1.5978842499999999</c:v>
                </c:pt>
                <c:pt idx="4">
                  <c:v>1.50049952</c:v>
                </c:pt>
                <c:pt idx="5">
                  <c:v>1.4869526900000001</c:v>
                </c:pt>
                <c:pt idx="6">
                  <c:v>1.4832542900000001</c:v>
                </c:pt>
                <c:pt idx="7">
                  <c:v>1.49616887</c:v>
                </c:pt>
                <c:pt idx="8">
                  <c:v>1.4619044685911404</c:v>
                </c:pt>
                <c:pt idx="9">
                  <c:v>1.4592783530930629</c:v>
                </c:pt>
                <c:pt idx="10">
                  <c:v>1.4513488246273711</c:v>
                </c:pt>
                <c:pt idx="11">
                  <c:v>1.4701098268944108</c:v>
                </c:pt>
                <c:pt idx="12">
                  <c:v>1.4359210719274844</c:v>
                </c:pt>
                <c:pt idx="13">
                  <c:v>1.4350062263119607</c:v>
                </c:pt>
                <c:pt idx="14">
                  <c:v>1.4397347540951952</c:v>
                </c:pt>
                <c:pt idx="15">
                  <c:v>1.5</c:v>
                </c:pt>
                <c:pt idx="16">
                  <c:v>1.4</c:v>
                </c:pt>
                <c:pt idx="17">
                  <c:v>1.4</c:v>
                </c:pt>
                <c:pt idx="18">
                  <c:v>1.4</c:v>
                </c:pt>
                <c:pt idx="19">
                  <c:v>1.45</c:v>
                </c:pt>
                <c:pt idx="20">
                  <c:v>1.4</c:v>
                </c:pt>
                <c:pt idx="21">
                  <c:v>1.3448593593964899</c:v>
                </c:pt>
              </c:numCache>
            </c:numRef>
          </c:val>
          <c:smooth val="0"/>
          <c:extLst>
            <c:ext xmlns:c16="http://schemas.microsoft.com/office/drawing/2014/chart" uri="{C3380CC4-5D6E-409C-BE32-E72D297353CC}">
              <c16:uniqueId val="{00000001-A196-426C-ADF3-420D6610342E}"/>
            </c:ext>
          </c:extLst>
        </c:ser>
        <c:ser>
          <c:idx val="0"/>
          <c:order val="2"/>
          <c:tx>
            <c:strRef>
              <c:f>'16.'!$B$7</c:f>
              <c:strCache>
                <c:ptCount val="1"/>
                <c:pt idx="0">
                  <c:v>Svenska storbanker</c:v>
                </c:pt>
              </c:strCache>
            </c:strRef>
          </c:tx>
          <c:spPr>
            <a:ln w="38100" cap="sq">
              <a:solidFill>
                <a:srgbClr val="4DAEC3"/>
              </a:solidFill>
              <a:prstDash val="solid"/>
              <a:round/>
            </a:ln>
            <a:effectLst/>
          </c:spPr>
          <c:marker>
            <c:symbol val="none"/>
          </c:marker>
          <c:cat>
            <c:numRef>
              <c:f>'16.'!$A$8:$A$29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'16.'!$B$8:$B$29</c:f>
              <c:numCache>
                <c:formatCode>0.0</c:formatCode>
                <c:ptCount val="22"/>
                <c:pt idx="0">
                  <c:v>1.3620271871324341</c:v>
                </c:pt>
                <c:pt idx="1">
                  <c:v>1.3266896154008829</c:v>
                </c:pt>
                <c:pt idx="2">
                  <c:v>1.3245240278377515</c:v>
                </c:pt>
                <c:pt idx="3">
                  <c:v>1.3790044791431235</c:v>
                </c:pt>
                <c:pt idx="4">
                  <c:v>1.2950035573686363</c:v>
                </c:pt>
                <c:pt idx="5">
                  <c:v>1.2686199368882489</c:v>
                </c:pt>
                <c:pt idx="6">
                  <c:v>1.2539360737610221</c:v>
                </c:pt>
                <c:pt idx="7">
                  <c:v>1.3323932106159193</c:v>
                </c:pt>
                <c:pt idx="8">
                  <c:v>1.2736985987672955</c:v>
                </c:pt>
                <c:pt idx="9">
                  <c:v>1.3101072106391463</c:v>
                </c:pt>
                <c:pt idx="10">
                  <c:v>1.2791543979517306</c:v>
                </c:pt>
                <c:pt idx="11">
                  <c:v>1.3520879509535375</c:v>
                </c:pt>
                <c:pt idx="12">
                  <c:v>1.320288860195745</c:v>
                </c:pt>
                <c:pt idx="13">
                  <c:v>1.2946259103315381</c:v>
                </c:pt>
                <c:pt idx="14">
                  <c:v>1.3199619958753865</c:v>
                </c:pt>
                <c:pt idx="15">
                  <c:v>1.3537775814438875</c:v>
                </c:pt>
                <c:pt idx="16">
                  <c:v>1.3042344845985403</c:v>
                </c:pt>
                <c:pt idx="17">
                  <c:v>1.3059753650636554</c:v>
                </c:pt>
                <c:pt idx="18">
                  <c:v>1.3040792048589382</c:v>
                </c:pt>
                <c:pt idx="19">
                  <c:v>1.3628052478413162</c:v>
                </c:pt>
                <c:pt idx="20">
                  <c:v>1.3049036698563299</c:v>
                </c:pt>
                <c:pt idx="21">
                  <c:v>1.3862763166629899</c:v>
                </c:pt>
              </c:numCache>
            </c:numRef>
          </c:val>
          <c:smooth val="0"/>
          <c:extLst>
            <c:ext xmlns:c16="http://schemas.microsoft.com/office/drawing/2014/chart" uri="{C3380CC4-5D6E-409C-BE32-E72D297353CC}">
              <c16:uniqueId val="{00000002-A196-426C-ADF3-420D6610342E}"/>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2"/>
          <c:min val="0.60000000000000009"/>
        </c:scaling>
        <c:delete val="0"/>
        <c:axPos val="l"/>
        <c:majorGridlines>
          <c:spPr>
            <a:ln w="9525" cap="flat" cmpd="sng" algn="ctr">
              <a:solidFill>
                <a:srgbClr val="A4A4A4"/>
              </a:solidFill>
              <a:round/>
            </a:ln>
            <a:effectLst/>
          </c:spPr>
        </c:majorGridlines>
        <c:numFmt formatCode="0.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0.2"/>
      </c:valAx>
      <c:spPr>
        <a:noFill/>
        <a:ln>
          <a:solidFill>
            <a:srgbClr val="A4A4A4"/>
          </a:solidFill>
        </a:ln>
        <a:effectLst/>
      </c:spPr>
    </c:plotArea>
    <c:legend>
      <c:legendPos val="b"/>
      <c:layout>
        <c:manualLayout>
          <c:xMode val="edge"/>
          <c:yMode val="edge"/>
          <c:x val="0.12425356030176131"/>
          <c:y val="0.89202630057929067"/>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0"/>
          <c:order val="0"/>
          <c:tx>
            <c:strRef>
              <c:f>'17.'!$B$7</c:f>
              <c:strCache>
                <c:ptCount val="1"/>
                <c:pt idx="0">
                  <c:v>Totalt</c:v>
                </c:pt>
              </c:strCache>
            </c:strRef>
          </c:tx>
          <c:spPr>
            <a:ln w="38100" cap="sq">
              <a:solidFill>
                <a:srgbClr val="98BF0C"/>
              </a:solidFill>
              <a:prstDash val="solid"/>
              <a:round/>
            </a:ln>
            <a:effectLst/>
          </c:spPr>
          <c:marker>
            <c:symbol val="none"/>
          </c:marker>
          <c:cat>
            <c:numRef>
              <c:f>'17.'!$A$8:$A$29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'17.'!$B$8:$B$29</c:f>
              <c:numCache>
                <c:formatCode>#,##0</c:formatCode>
                <c:ptCount val="22"/>
                <c:pt idx="0">
                  <c:v>4229.4487024089995</c:v>
                </c:pt>
                <c:pt idx="1">
                  <c:v>4303.3710971295413</c:v>
                </c:pt>
                <c:pt idx="2">
                  <c:v>4334.2726023449632</c:v>
                </c:pt>
                <c:pt idx="3">
                  <c:v>4356.4109839421926</c:v>
                </c:pt>
                <c:pt idx="4">
                  <c:v>4417.0051916227867</c:v>
                </c:pt>
                <c:pt idx="5">
                  <c:v>4555.3260846616722</c:v>
                </c:pt>
                <c:pt idx="6">
                  <c:v>4659.5117610897978</c:v>
                </c:pt>
                <c:pt idx="7">
                  <c:v>4663.6762659889919</c:v>
                </c:pt>
                <c:pt idx="8">
                  <c:v>4735.1896990394916</c:v>
                </c:pt>
                <c:pt idx="9">
                  <c:v>4809.5711411256652</c:v>
                </c:pt>
                <c:pt idx="10">
                  <c:v>4859.7815075931385</c:v>
                </c:pt>
                <c:pt idx="11">
                  <c:v>4872.3479631150894</c:v>
                </c:pt>
                <c:pt idx="12">
                  <c:v>4946.8469108237505</c:v>
                </c:pt>
                <c:pt idx="13">
                  <c:v>5077.8979574579198</c:v>
                </c:pt>
                <c:pt idx="14">
                  <c:v>5087.6541232151503</c:v>
                </c:pt>
                <c:pt idx="15">
                  <c:v>5127.1468664208796</c:v>
                </c:pt>
                <c:pt idx="16">
                  <c:v>5265.8989290316604</c:v>
                </c:pt>
                <c:pt idx="17">
                  <c:v>5381.4745142131005</c:v>
                </c:pt>
                <c:pt idx="18">
                  <c:v>5415.5502769617206</c:v>
                </c:pt>
                <c:pt idx="19">
                  <c:v>5384.5270193446104</c:v>
                </c:pt>
                <c:pt idx="20">
                  <c:v>5545.8053430913105</c:v>
                </c:pt>
                <c:pt idx="21">
                  <c:v>5438.0161234627303</c:v>
                </c:pt>
              </c:numCache>
            </c:numRef>
          </c:val>
          <c:smooth val="0"/>
          <c:extLst>
            <c:ext xmlns:c16="http://schemas.microsoft.com/office/drawing/2014/chart" uri="{C3380CC4-5D6E-409C-BE32-E72D297353CC}">
              <c16:uniqueId val="{00000000-814E-4973-A3F6-C3CDE1C1E69C}"/>
            </c:ext>
          </c:extLst>
        </c:ser>
        <c:ser>
          <c:idx val="1"/>
          <c:order val="1"/>
          <c:tx>
            <c:strRef>
              <c:f>'17.'!$C$7</c:f>
              <c:strCache>
                <c:ptCount val="1"/>
                <c:pt idx="0">
                  <c:v>Hushåll - Bolån</c:v>
                </c:pt>
              </c:strCache>
            </c:strRef>
          </c:tx>
          <c:spPr>
            <a:ln w="38100" cap="sq">
              <a:solidFill>
                <a:srgbClr val="E64848"/>
              </a:solidFill>
              <a:prstDash val="solid"/>
              <a:round/>
            </a:ln>
            <a:effectLst/>
          </c:spPr>
          <c:marker>
            <c:symbol val="none"/>
          </c:marker>
          <c:cat>
            <c:numRef>
              <c:f>'17.'!$A$8:$A$29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'17.'!$C$8:$C$29</c:f>
              <c:numCache>
                <c:formatCode>#,##0</c:formatCode>
                <c:ptCount val="22"/>
                <c:pt idx="0">
                  <c:v>2074.5708502279999</c:v>
                </c:pt>
                <c:pt idx="1">
                  <c:v>2127.4945231900738</c:v>
                </c:pt>
                <c:pt idx="2">
                  <c:v>2172.8408582547131</c:v>
                </c:pt>
                <c:pt idx="3">
                  <c:v>2196.2316685247433</c:v>
                </c:pt>
                <c:pt idx="4">
                  <c:v>2216.332048386776</c:v>
                </c:pt>
                <c:pt idx="5">
                  <c:v>2271.9533996199921</c:v>
                </c:pt>
                <c:pt idx="6">
                  <c:v>2309.2202899506347</c:v>
                </c:pt>
                <c:pt idx="7">
                  <c:v>2344.9263203015489</c:v>
                </c:pt>
                <c:pt idx="8">
                  <c:v>2373.53147177763</c:v>
                </c:pt>
                <c:pt idx="9">
                  <c:v>2408.68349859213</c:v>
                </c:pt>
                <c:pt idx="10">
                  <c:v>2433.9231218049904</c:v>
                </c:pt>
                <c:pt idx="11">
                  <c:v>2481.3328949930897</c:v>
                </c:pt>
                <c:pt idx="12">
                  <c:v>2457.9086585800001</c:v>
                </c:pt>
                <c:pt idx="13">
                  <c:v>2503.863239928</c:v>
                </c:pt>
                <c:pt idx="14">
                  <c:v>2521.218256183</c:v>
                </c:pt>
                <c:pt idx="15">
                  <c:v>2558.5645778819999</c:v>
                </c:pt>
                <c:pt idx="16">
                  <c:v>2637.5423115379999</c:v>
                </c:pt>
                <c:pt idx="17">
                  <c:v>2671.7935332659999</c:v>
                </c:pt>
                <c:pt idx="18">
                  <c:v>2699.6993454829999</c:v>
                </c:pt>
                <c:pt idx="19">
                  <c:v>2718.6539246870002</c:v>
                </c:pt>
                <c:pt idx="20">
                  <c:v>2747.3007082570002</c:v>
                </c:pt>
                <c:pt idx="21">
                  <c:v>2754.8470488930002</c:v>
                </c:pt>
              </c:numCache>
            </c:numRef>
          </c:val>
          <c:smooth val="0"/>
          <c:extLst>
            <c:ext xmlns:c16="http://schemas.microsoft.com/office/drawing/2014/chart" uri="{C3380CC4-5D6E-409C-BE32-E72D297353CC}">
              <c16:uniqueId val="{00000001-814E-4973-A3F6-C3CDE1C1E69C}"/>
            </c:ext>
          </c:extLst>
        </c:ser>
        <c:ser>
          <c:idx val="2"/>
          <c:order val="2"/>
          <c:tx>
            <c:strRef>
              <c:f>'17.'!$D$7</c:f>
              <c:strCache>
                <c:ptCount val="1"/>
                <c:pt idx="0">
                  <c:v>Företag</c:v>
                </c:pt>
              </c:strCache>
            </c:strRef>
          </c:tx>
          <c:spPr>
            <a:ln w="38100" cap="rnd">
              <a:solidFill>
                <a:srgbClr val="4DAEC3"/>
              </a:solidFill>
              <a:prstDash val="solid"/>
              <a:round/>
            </a:ln>
            <a:effectLst/>
          </c:spPr>
          <c:marker>
            <c:symbol val="none"/>
          </c:marker>
          <c:cat>
            <c:numRef>
              <c:f>'17.'!$A$8:$A$29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'17.'!$D$8:$D$29</c:f>
              <c:numCache>
                <c:formatCode>#,##0</c:formatCode>
                <c:ptCount val="22"/>
                <c:pt idx="0">
                  <c:v>2019.308944165</c:v>
                </c:pt>
                <c:pt idx="1">
                  <c:v>2036.762034758915</c:v>
                </c:pt>
                <c:pt idx="2">
                  <c:v>2023.4628941966391</c:v>
                </c:pt>
                <c:pt idx="3">
                  <c:v>2026.4655902791051</c:v>
                </c:pt>
                <c:pt idx="4">
                  <c:v>2067.9244038126203</c:v>
                </c:pt>
                <c:pt idx="5">
                  <c:v>2147.1553052354325</c:v>
                </c:pt>
                <c:pt idx="6">
                  <c:v>2214.721404599135</c:v>
                </c:pt>
                <c:pt idx="7">
                  <c:v>2186.7937468961968</c:v>
                </c:pt>
                <c:pt idx="8">
                  <c:v>2228.8094263744238</c:v>
                </c:pt>
                <c:pt idx="9">
                  <c:v>2262.3083392762151</c:v>
                </c:pt>
                <c:pt idx="10">
                  <c:v>2286.7397295485812</c:v>
                </c:pt>
                <c:pt idx="11">
                  <c:v>2254.8059897573589</c:v>
                </c:pt>
                <c:pt idx="12">
                  <c:v>2347.8784842300001</c:v>
                </c:pt>
                <c:pt idx="13">
                  <c:v>2429.0446185709998</c:v>
                </c:pt>
                <c:pt idx="14">
                  <c:v>2419.988687692</c:v>
                </c:pt>
                <c:pt idx="15">
                  <c:v>2424.4715005319999</c:v>
                </c:pt>
                <c:pt idx="16">
                  <c:v>2484.5998198829998</c:v>
                </c:pt>
                <c:pt idx="17">
                  <c:v>2559.1674229550003</c:v>
                </c:pt>
                <c:pt idx="18">
                  <c:v>2568.842924993</c:v>
                </c:pt>
                <c:pt idx="19">
                  <c:v>2524.2898174090001</c:v>
                </c:pt>
                <c:pt idx="20">
                  <c:v>2656.6060901979999</c:v>
                </c:pt>
                <c:pt idx="21">
                  <c:v>2532.928746005</c:v>
                </c:pt>
              </c:numCache>
            </c:numRef>
          </c:val>
          <c:smooth val="0"/>
          <c:extLst>
            <c:ext xmlns:c16="http://schemas.microsoft.com/office/drawing/2014/chart" uri="{C3380CC4-5D6E-409C-BE32-E72D297353CC}">
              <c16:uniqueId val="{00000002-814E-4973-A3F6-C3CDE1C1E69C}"/>
            </c:ext>
          </c:extLst>
        </c:ser>
        <c:ser>
          <c:idx val="3"/>
          <c:order val="3"/>
          <c:tx>
            <c:strRef>
              <c:f>'17.'!$E$7</c:f>
              <c:strCache>
                <c:ptCount val="1"/>
                <c:pt idx="0">
                  <c:v>Hushåll - Övrigt</c:v>
                </c:pt>
              </c:strCache>
            </c:strRef>
          </c:tx>
          <c:spPr>
            <a:ln w="38100" cap="sq">
              <a:solidFill>
                <a:srgbClr val="F0B600"/>
              </a:solidFill>
              <a:prstDash val="solid"/>
              <a:round/>
            </a:ln>
            <a:effectLst/>
          </c:spPr>
          <c:marker>
            <c:symbol val="none"/>
          </c:marker>
          <c:cat>
            <c:numRef>
              <c:f>'17.'!$A$8:$A$29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'17.'!$E$8:$E$29</c:f>
              <c:numCache>
                <c:formatCode>#,##0</c:formatCode>
                <c:ptCount val="22"/>
                <c:pt idx="0">
                  <c:v>135.56890801599999</c:v>
                </c:pt>
                <c:pt idx="1">
                  <c:v>139.11453918055204</c:v>
                </c:pt>
                <c:pt idx="2">
                  <c:v>137.96884989361098</c:v>
                </c:pt>
                <c:pt idx="3">
                  <c:v>133.71372513834504</c:v>
                </c:pt>
                <c:pt idx="4">
                  <c:v>132.74873942338999</c:v>
                </c:pt>
                <c:pt idx="5">
                  <c:v>136.217379806248</c:v>
                </c:pt>
                <c:pt idx="6">
                  <c:v>135.57006654002799</c:v>
                </c:pt>
                <c:pt idx="7">
                  <c:v>131.95619879124598</c:v>
                </c:pt>
                <c:pt idx="8">
                  <c:v>132.84880088743802</c:v>
                </c:pt>
                <c:pt idx="9">
                  <c:v>138.57930325731994</c:v>
                </c:pt>
                <c:pt idx="10">
                  <c:v>139.11865623956703</c:v>
                </c:pt>
                <c:pt idx="11">
                  <c:v>136.20907836464099</c:v>
                </c:pt>
                <c:pt idx="12">
                  <c:v>141.05976801375004</c:v>
                </c:pt>
                <c:pt idx="13">
                  <c:v>144.99009895891999</c:v>
                </c:pt>
                <c:pt idx="14">
                  <c:v>146.44717934015</c:v>
                </c:pt>
                <c:pt idx="15">
                  <c:v>144.11078800687997</c:v>
                </c:pt>
                <c:pt idx="16">
                  <c:v>143.75679761065999</c:v>
                </c:pt>
                <c:pt idx="17">
                  <c:v>150.51355799210003</c:v>
                </c:pt>
                <c:pt idx="18">
                  <c:v>147.00800648572005</c:v>
                </c:pt>
                <c:pt idx="19">
                  <c:v>141.58327724860999</c:v>
                </c:pt>
                <c:pt idx="20">
                  <c:v>141.89854463630999</c:v>
                </c:pt>
                <c:pt idx="21">
                  <c:v>150.24032856473013</c:v>
                </c:pt>
              </c:numCache>
            </c:numRef>
          </c:val>
          <c:smooth val="0"/>
          <c:extLst>
            <c:ext xmlns:c16="http://schemas.microsoft.com/office/drawing/2014/chart" uri="{C3380CC4-5D6E-409C-BE32-E72D297353CC}">
              <c16:uniqueId val="{00000003-814E-4973-A3F6-C3CDE1C1E69C}"/>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0.12425356030176131"/>
          <c:y val="0.88981865116097159"/>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2"/>
          <c:order val="0"/>
          <c:tx>
            <c:strRef>
              <c:f>'18.'!$D$7</c:f>
              <c:strCache>
                <c:ptCount val="1"/>
                <c:pt idx="0">
                  <c:v>EU-banker</c:v>
                </c:pt>
              </c:strCache>
            </c:strRef>
          </c:tx>
          <c:spPr>
            <a:ln w="38100" cap="rnd">
              <a:solidFill>
                <a:srgbClr val="98BF0C"/>
              </a:solidFill>
              <a:prstDash val="solid"/>
              <a:round/>
            </a:ln>
            <a:effectLst/>
          </c:spPr>
          <c:marker>
            <c:symbol val="none"/>
          </c:marker>
          <c:cat>
            <c:numRef>
              <c:f>'18.'!$A$8:$A$29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'18.'!$D$8:$D$29</c:f>
              <c:numCache>
                <c:formatCode>0</c:formatCode>
                <c:ptCount val="22"/>
                <c:pt idx="0">
                  <c:v>6.2069344600000003</c:v>
                </c:pt>
                <c:pt idx="1">
                  <c:v>6.0189614200000001</c:v>
                </c:pt>
                <c:pt idx="2">
                  <c:v>5.8862139000000004</c:v>
                </c:pt>
                <c:pt idx="3">
                  <c:v>5.73210672</c:v>
                </c:pt>
                <c:pt idx="4">
                  <c:v>5.63859055</c:v>
                </c:pt>
                <c:pt idx="5">
                  <c:v>5.4572830099999994</c:v>
                </c:pt>
                <c:pt idx="6">
                  <c:v>5.40160295</c:v>
                </c:pt>
                <c:pt idx="7">
                  <c:v>5.1662231699999994</c:v>
                </c:pt>
                <c:pt idx="8">
                  <c:v>4.8017137766815576</c:v>
                </c:pt>
                <c:pt idx="9">
                  <c:v>4.442582328348986</c:v>
                </c:pt>
                <c:pt idx="10">
                  <c:v>4.2294588542903826</c:v>
                </c:pt>
                <c:pt idx="11">
                  <c:v>4.0509133904470138</c:v>
                </c:pt>
                <c:pt idx="12">
                  <c:v>3.8413292809596959</c:v>
                </c:pt>
                <c:pt idx="13">
                  <c:v>3.5839210257165939</c:v>
                </c:pt>
                <c:pt idx="14">
                  <c:v>3.4117211713508526</c:v>
                </c:pt>
                <c:pt idx="15">
                  <c:v>3.2</c:v>
                </c:pt>
                <c:pt idx="16">
                  <c:v>3.1</c:v>
                </c:pt>
                <c:pt idx="17">
                  <c:v>3</c:v>
                </c:pt>
                <c:pt idx="18">
                  <c:v>2.9</c:v>
                </c:pt>
                <c:pt idx="19">
                  <c:v>2.7</c:v>
                </c:pt>
                <c:pt idx="20">
                  <c:v>3</c:v>
                </c:pt>
                <c:pt idx="21">
                  <c:v>2.8620741488180301</c:v>
                </c:pt>
              </c:numCache>
            </c:numRef>
          </c:val>
          <c:smooth val="0"/>
          <c:extLst>
            <c:ext xmlns:c16="http://schemas.microsoft.com/office/drawing/2014/chart" uri="{C3380CC4-5D6E-409C-BE32-E72D297353CC}">
              <c16:uniqueId val="{00000000-9161-49AA-B048-8F854A8033C4}"/>
            </c:ext>
          </c:extLst>
        </c:ser>
        <c:ser>
          <c:idx val="1"/>
          <c:order val="1"/>
          <c:tx>
            <c:strRef>
              <c:f>'18.'!$C$7</c:f>
              <c:strCache>
                <c:ptCount val="1"/>
                <c:pt idx="0">
                  <c:v>Nordiska storbanker</c:v>
                </c:pt>
              </c:strCache>
            </c:strRef>
          </c:tx>
          <c:spPr>
            <a:ln w="38100" cap="sq">
              <a:solidFill>
                <a:srgbClr val="E64848"/>
              </a:solidFill>
              <a:prstDash val="solid"/>
              <a:round/>
            </a:ln>
            <a:effectLst/>
          </c:spPr>
          <c:marker>
            <c:symbol val="none"/>
          </c:marker>
          <c:cat>
            <c:numRef>
              <c:f>'18.'!$A$8:$A$29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'18.'!$C$8:$C$29</c:f>
              <c:numCache>
                <c:formatCode>0</c:formatCode>
                <c:ptCount val="22"/>
                <c:pt idx="0">
                  <c:v>1.5038798227115266</c:v>
                </c:pt>
                <c:pt idx="1">
                  <c:v>1.4378444012743843</c:v>
                </c:pt>
                <c:pt idx="2">
                  <c:v>1.3176974871142342</c:v>
                </c:pt>
                <c:pt idx="3">
                  <c:v>1.5592740836927206</c:v>
                </c:pt>
                <c:pt idx="4">
                  <c:v>1.4853653869596528</c:v>
                </c:pt>
                <c:pt idx="5">
                  <c:v>1.5399526905490821</c:v>
                </c:pt>
                <c:pt idx="6">
                  <c:v>1.5693729248673591</c:v>
                </c:pt>
                <c:pt idx="7">
                  <c:v>1.5837574541062174</c:v>
                </c:pt>
                <c:pt idx="8">
                  <c:v>1.4425122726213429</c:v>
                </c:pt>
                <c:pt idx="9">
                  <c:v>1.4009901596579455</c:v>
                </c:pt>
                <c:pt idx="10">
                  <c:v>1.3438337964259608</c:v>
                </c:pt>
                <c:pt idx="11">
                  <c:v>1.3000985754285022</c:v>
                </c:pt>
                <c:pt idx="12">
                  <c:v>1.3675781104319971</c:v>
                </c:pt>
                <c:pt idx="13">
                  <c:v>1.3636436147660929</c:v>
                </c:pt>
                <c:pt idx="14">
                  <c:v>1.2801074345342023</c:v>
                </c:pt>
                <c:pt idx="15">
                  <c:v>1.25747189865</c:v>
                </c:pt>
                <c:pt idx="16">
                  <c:v>1.1726711233080853</c:v>
                </c:pt>
                <c:pt idx="17">
                  <c:v>1.1535757978604644</c:v>
                </c:pt>
                <c:pt idx="18">
                  <c:v>1.2265433190917205</c:v>
                </c:pt>
                <c:pt idx="19">
                  <c:v>1.2175855289474757</c:v>
                </c:pt>
                <c:pt idx="20">
                  <c:v>1.3850511788110849</c:v>
                </c:pt>
                <c:pt idx="21">
                  <c:v>1.398752338194573</c:v>
                </c:pt>
              </c:numCache>
            </c:numRef>
          </c:val>
          <c:smooth val="0"/>
          <c:extLst>
            <c:ext xmlns:c16="http://schemas.microsoft.com/office/drawing/2014/chart" uri="{C3380CC4-5D6E-409C-BE32-E72D297353CC}">
              <c16:uniqueId val="{00000001-9161-49AA-B048-8F854A8033C4}"/>
            </c:ext>
          </c:extLst>
        </c:ser>
        <c:ser>
          <c:idx val="0"/>
          <c:order val="2"/>
          <c:tx>
            <c:strRef>
              <c:f>'18.'!$B$7</c:f>
              <c:strCache>
                <c:ptCount val="1"/>
                <c:pt idx="0">
                  <c:v>Svenska storbanker</c:v>
                </c:pt>
              </c:strCache>
            </c:strRef>
          </c:tx>
          <c:spPr>
            <a:ln w="38100" cap="sq">
              <a:solidFill>
                <a:srgbClr val="4DAEC3"/>
              </a:solidFill>
              <a:prstDash val="solid"/>
              <a:round/>
            </a:ln>
            <a:effectLst/>
          </c:spPr>
          <c:marker>
            <c:symbol val="none"/>
          </c:marker>
          <c:cat>
            <c:numRef>
              <c:f>'18.'!$A$8:$A$29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'18.'!$B$8:$B$29</c:f>
              <c:numCache>
                <c:formatCode>0.0</c:formatCode>
                <c:ptCount val="22"/>
                <c:pt idx="0">
                  <c:v>0.73116782022432636</c:v>
                </c:pt>
                <c:pt idx="1">
                  <c:v>0.69290656460021272</c:v>
                </c:pt>
                <c:pt idx="2">
                  <c:v>0.6352477521251374</c:v>
                </c:pt>
                <c:pt idx="3">
                  <c:v>0.6626106452044318</c:v>
                </c:pt>
                <c:pt idx="4">
                  <c:v>0.58495444597058799</c:v>
                </c:pt>
                <c:pt idx="5">
                  <c:v>0.58342182406987364</c:v>
                </c:pt>
                <c:pt idx="6">
                  <c:v>0.55602476443392357</c:v>
                </c:pt>
                <c:pt idx="7">
                  <c:v>0.59664561334564925</c:v>
                </c:pt>
                <c:pt idx="8">
                  <c:v>0.56004087200772668</c:v>
                </c:pt>
                <c:pt idx="9">
                  <c:v>0.60344345984047076</c:v>
                </c:pt>
                <c:pt idx="10">
                  <c:v>0.61853845437728516</c:v>
                </c:pt>
                <c:pt idx="11">
                  <c:v>0.60969239372300554</c:v>
                </c:pt>
                <c:pt idx="12">
                  <c:v>0.6535596986682275</c:v>
                </c:pt>
                <c:pt idx="13">
                  <c:v>0.6054776963537889</c:v>
                </c:pt>
                <c:pt idx="14">
                  <c:v>0.59153809712827499</c:v>
                </c:pt>
                <c:pt idx="15">
                  <c:v>0.59247898458933512</c:v>
                </c:pt>
                <c:pt idx="16">
                  <c:v>0.61076584907140596</c:v>
                </c:pt>
                <c:pt idx="17">
                  <c:v>0.64771190730059436</c:v>
                </c:pt>
                <c:pt idx="18">
                  <c:v>0.67360807670944001</c:v>
                </c:pt>
                <c:pt idx="19">
                  <c:v>0.69248120911659961</c:v>
                </c:pt>
                <c:pt idx="20">
                  <c:v>0.68360320583294998</c:v>
                </c:pt>
                <c:pt idx="21">
                  <c:v>0.714602308355335</c:v>
                </c:pt>
              </c:numCache>
            </c:numRef>
          </c:val>
          <c:smooth val="0"/>
          <c:extLst>
            <c:ext xmlns:c16="http://schemas.microsoft.com/office/drawing/2014/chart" uri="{C3380CC4-5D6E-409C-BE32-E72D297353CC}">
              <c16:uniqueId val="{00000002-9161-49AA-B048-8F854A8033C4}"/>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8"/>
          <c:min val="0"/>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1"/>
      </c:valAx>
      <c:spPr>
        <a:noFill/>
        <a:ln>
          <a:solidFill>
            <a:srgbClr val="A4A4A4"/>
          </a:solidFill>
        </a:ln>
        <a:effectLst/>
      </c:spPr>
    </c:plotArea>
    <c:legend>
      <c:legendPos val="b"/>
      <c:layout>
        <c:manualLayout>
          <c:xMode val="edge"/>
          <c:yMode val="edge"/>
          <c:x val="0.12030673369020521"/>
          <c:y val="0.87436510523273758"/>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8686333465412179E-2"/>
          <c:y val="5.3696987080035986E-2"/>
          <c:w val="0.94310906193078325"/>
          <c:h val="0.76677713605291409"/>
        </c:manualLayout>
      </c:layout>
      <c:lineChart>
        <c:grouping val="standard"/>
        <c:varyColors val="0"/>
        <c:ser>
          <c:idx val="0"/>
          <c:order val="0"/>
          <c:tx>
            <c:strRef>
              <c:f>'19.'!$B$7</c:f>
              <c:strCache>
                <c:ptCount val="1"/>
                <c:pt idx="0">
                  <c:v>Avkastning på eget kapital</c:v>
                </c:pt>
              </c:strCache>
            </c:strRef>
          </c:tx>
          <c:spPr>
            <a:ln w="38100" cap="sq">
              <a:solidFill>
                <a:srgbClr val="4DAEC3"/>
              </a:solidFill>
              <a:prstDash val="solid"/>
              <a:round/>
            </a:ln>
            <a:effectLst/>
          </c:spPr>
          <c:marker>
            <c:symbol val="none"/>
          </c:marker>
          <c:cat>
            <c:numRef>
              <c:f>'19.'!$A$8:$A$29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'19.'!$B$8:$B$29</c:f>
              <c:numCache>
                <c:formatCode>0</c:formatCode>
                <c:ptCount val="22"/>
                <c:pt idx="0">
                  <c:v>10.019429821717235</c:v>
                </c:pt>
                <c:pt idx="1">
                  <c:v>8.6978946148654099</c:v>
                </c:pt>
                <c:pt idx="2">
                  <c:v>8.5277033565031779</c:v>
                </c:pt>
                <c:pt idx="3">
                  <c:v>9.7259858296536699</c:v>
                </c:pt>
                <c:pt idx="4">
                  <c:v>9.3263682529496315</c:v>
                </c:pt>
                <c:pt idx="5">
                  <c:v>9.3440611692458813</c:v>
                </c:pt>
                <c:pt idx="6">
                  <c:v>9.7157782272827955</c:v>
                </c:pt>
                <c:pt idx="7">
                  <c:v>9.3261174773231392</c:v>
                </c:pt>
                <c:pt idx="8">
                  <c:v>9.0881473530560193</c:v>
                </c:pt>
                <c:pt idx="9">
                  <c:v>9.4021576846881452</c:v>
                </c:pt>
                <c:pt idx="10">
                  <c:v>9.7161799762973633</c:v>
                </c:pt>
                <c:pt idx="11">
                  <c:v>9.2977331794098301</c:v>
                </c:pt>
                <c:pt idx="12">
                  <c:v>9.7929623601703177</c:v>
                </c:pt>
                <c:pt idx="13">
                  <c:v>9.5987108383171087</c:v>
                </c:pt>
                <c:pt idx="14">
                  <c:v>9.0904935525610515</c:v>
                </c:pt>
                <c:pt idx="15">
                  <c:v>6.5519081646112047</c:v>
                </c:pt>
                <c:pt idx="16">
                  <c:v>9.2046490643374312</c:v>
                </c:pt>
                <c:pt idx="17">
                  <c:v>8.5951190041005674</c:v>
                </c:pt>
                <c:pt idx="18">
                  <c:v>8.3441491712253661</c:v>
                </c:pt>
                <c:pt idx="19">
                  <c:v>7.8620870057546854</c:v>
                </c:pt>
                <c:pt idx="20">
                  <c:v>7.3158817334538497</c:v>
                </c:pt>
                <c:pt idx="21">
                  <c:v>7.5292015512061203</c:v>
                </c:pt>
              </c:numCache>
            </c:numRef>
          </c:val>
          <c:smooth val="0"/>
          <c:extLst>
            <c:ext xmlns:c16="http://schemas.microsoft.com/office/drawing/2014/chart" uri="{C3380CC4-5D6E-409C-BE32-E72D297353CC}">
              <c16:uniqueId val="{00000000-1B91-489F-916C-C16A36CAF131}"/>
            </c:ext>
          </c:extLst>
        </c:ser>
        <c:ser>
          <c:idx val="1"/>
          <c:order val="1"/>
          <c:tx>
            <c:strRef>
              <c:f>'19.'!$C$7</c:f>
              <c:strCache>
                <c:ptCount val="1"/>
                <c:pt idx="0">
                  <c:v>Avkastning på eget kapital, glidande medelvärde</c:v>
                </c:pt>
              </c:strCache>
            </c:strRef>
          </c:tx>
          <c:spPr>
            <a:ln w="38100" cap="rnd">
              <a:solidFill>
                <a:srgbClr val="4DAEC3"/>
              </a:solidFill>
              <a:prstDash val="dash"/>
              <a:round/>
            </a:ln>
            <a:effectLst/>
          </c:spPr>
          <c:marker>
            <c:symbol val="none"/>
          </c:marker>
          <c:cat>
            <c:numRef>
              <c:f>'19.'!$A$8:$A$29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'19.'!$C$8:$C$29</c:f>
              <c:numCache>
                <c:formatCode>0</c:formatCode>
                <c:ptCount val="22"/>
                <c:pt idx="0">
                  <c:v>10.241108334127082</c:v>
                </c:pt>
                <c:pt idx="1">
                  <c:v>9.7913392004711284</c:v>
                </c:pt>
                <c:pt idx="2">
                  <c:v>9.31691202058561</c:v>
                </c:pt>
                <c:pt idx="3">
                  <c:v>9.2427534056848728</c:v>
                </c:pt>
                <c:pt idx="4">
                  <c:v>9.0694880134929718</c:v>
                </c:pt>
                <c:pt idx="5">
                  <c:v>9.2310296520880897</c:v>
                </c:pt>
                <c:pt idx="6">
                  <c:v>9.5280483697829954</c:v>
                </c:pt>
                <c:pt idx="7">
                  <c:v>9.4280812817003614</c:v>
                </c:pt>
                <c:pt idx="8">
                  <c:v>9.3685260567269584</c:v>
                </c:pt>
                <c:pt idx="9">
                  <c:v>9.3830501855875248</c:v>
                </c:pt>
                <c:pt idx="10">
                  <c:v>9.3831506228411659</c:v>
                </c:pt>
                <c:pt idx="11">
                  <c:v>9.3760545483628395</c:v>
                </c:pt>
                <c:pt idx="12">
                  <c:v>9.5522583001414141</c:v>
                </c:pt>
                <c:pt idx="13">
                  <c:v>9.6013965885486545</c:v>
                </c:pt>
                <c:pt idx="14">
                  <c:v>9.4449749826145784</c:v>
                </c:pt>
                <c:pt idx="15">
                  <c:v>8.75851872891492</c:v>
                </c:pt>
                <c:pt idx="16">
                  <c:v>8.6114404049566993</c:v>
                </c:pt>
                <c:pt idx="17">
                  <c:v>8.3605424464025635</c:v>
                </c:pt>
                <c:pt idx="18">
                  <c:v>8.173956351068643</c:v>
                </c:pt>
                <c:pt idx="19">
                  <c:v>8.5015010613545137</c:v>
                </c:pt>
                <c:pt idx="20">
                  <c:v>8.0293092286336201</c:v>
                </c:pt>
                <c:pt idx="21">
                  <c:v>7.7628298654100103</c:v>
                </c:pt>
              </c:numCache>
            </c:numRef>
          </c:val>
          <c:smooth val="0"/>
          <c:extLst>
            <c:ext xmlns:c16="http://schemas.microsoft.com/office/drawing/2014/chart" uri="{C3380CC4-5D6E-409C-BE32-E72D297353CC}">
              <c16:uniqueId val="{00000001-1B91-489F-916C-C16A36CAF131}"/>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11"/>
          <c:min val="0"/>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2"/>
      </c:valAx>
      <c:spPr>
        <a:noFill/>
        <a:ln>
          <a:solidFill>
            <a:srgbClr val="A4A4A4"/>
          </a:solidFill>
        </a:ln>
        <a:effectLst/>
      </c:spPr>
    </c:plotArea>
    <c:legend>
      <c:legendPos val="b"/>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rgbClr val="4DAEC3"/>
              </a:solidFill>
              <a:ln w="12700">
                <a:noFill/>
              </a:ln>
              <a:effectLst/>
            </c:spPr>
            <c:extLst>
              <c:ext xmlns:c16="http://schemas.microsoft.com/office/drawing/2014/chart" uri="{C3380CC4-5D6E-409C-BE32-E72D297353CC}">
                <c16:uniqueId val="{00000001-9292-458C-BCB4-7D8638687421}"/>
              </c:ext>
            </c:extLst>
          </c:dPt>
          <c:dPt>
            <c:idx val="1"/>
            <c:bubble3D val="0"/>
            <c:spPr>
              <a:solidFill>
                <a:srgbClr val="E64848"/>
              </a:solidFill>
              <a:ln w="12700">
                <a:noFill/>
              </a:ln>
              <a:effectLst/>
            </c:spPr>
            <c:extLst>
              <c:ext xmlns:c16="http://schemas.microsoft.com/office/drawing/2014/chart" uri="{C3380CC4-5D6E-409C-BE32-E72D297353CC}">
                <c16:uniqueId val="{00000003-9292-458C-BCB4-7D8638687421}"/>
              </c:ext>
            </c:extLst>
          </c:dPt>
          <c:dPt>
            <c:idx val="2"/>
            <c:bubble3D val="0"/>
            <c:spPr>
              <a:solidFill>
                <a:srgbClr val="98BF0C"/>
              </a:solidFill>
              <a:ln w="12700">
                <a:noFill/>
              </a:ln>
              <a:effectLst/>
            </c:spPr>
            <c:extLst>
              <c:ext xmlns:c16="http://schemas.microsoft.com/office/drawing/2014/chart" uri="{C3380CC4-5D6E-409C-BE32-E72D297353CC}">
                <c16:uniqueId val="{00000005-9292-458C-BCB4-7D8638687421}"/>
              </c:ext>
            </c:extLst>
          </c:dPt>
          <c:dPt>
            <c:idx val="3"/>
            <c:bubble3D val="0"/>
            <c:spPr>
              <a:solidFill>
                <a:srgbClr val="F0B600"/>
              </a:solidFill>
              <a:ln w="12700">
                <a:noFill/>
              </a:ln>
              <a:effectLst/>
            </c:spPr>
            <c:extLst>
              <c:ext xmlns:c16="http://schemas.microsoft.com/office/drawing/2014/chart" uri="{C3380CC4-5D6E-409C-BE32-E72D297353CC}">
                <c16:uniqueId val="{00000007-9292-458C-BCB4-7D8638687421}"/>
              </c:ext>
            </c:extLst>
          </c:dPt>
          <c:dPt>
            <c:idx val="4"/>
            <c:bubble3D val="0"/>
            <c:spPr>
              <a:solidFill>
                <a:srgbClr val="A05599"/>
              </a:solidFill>
              <a:ln w="12700">
                <a:noFill/>
              </a:ln>
              <a:effectLst/>
            </c:spPr>
            <c:extLst>
              <c:ext xmlns:c16="http://schemas.microsoft.com/office/drawing/2014/chart" uri="{C3380CC4-5D6E-409C-BE32-E72D297353CC}">
                <c16:uniqueId val="{00000009-9292-458C-BCB4-7D8638687421}"/>
              </c:ext>
            </c:extLst>
          </c:dPt>
          <c:dPt>
            <c:idx val="5"/>
            <c:bubble3D val="0"/>
            <c:spPr>
              <a:solidFill>
                <a:srgbClr val="C0C1C2"/>
              </a:solidFill>
              <a:ln w="12700">
                <a:noFill/>
              </a:ln>
              <a:effectLst/>
            </c:spPr>
            <c:extLst>
              <c:ext xmlns:c16="http://schemas.microsoft.com/office/drawing/2014/chart" uri="{C3380CC4-5D6E-409C-BE32-E72D297353CC}">
                <c16:uniqueId val="{0000000B-9292-458C-BCB4-7D8638687421}"/>
              </c:ext>
            </c:extLst>
          </c:dPt>
          <c:dPt>
            <c:idx val="6"/>
            <c:bubble3D val="0"/>
            <c:spPr>
              <a:solidFill>
                <a:srgbClr val="EC732B"/>
              </a:solidFill>
              <a:ln w="12700">
                <a:noFill/>
              </a:ln>
              <a:effectLst/>
            </c:spPr>
            <c:extLst>
              <c:ext xmlns:c16="http://schemas.microsoft.com/office/drawing/2014/chart" uri="{C3380CC4-5D6E-409C-BE32-E72D297353CC}">
                <c16:uniqueId val="{0000000D-9292-458C-BCB4-7D8638687421}"/>
              </c:ext>
            </c:extLst>
          </c:dPt>
          <c:dPt>
            <c:idx val="7"/>
            <c:bubble3D val="0"/>
            <c:spPr>
              <a:solidFill>
                <a:srgbClr val="1E1C20"/>
              </a:solidFill>
              <a:ln w="12700">
                <a:noFill/>
              </a:ln>
              <a:effectLst/>
            </c:spPr>
            <c:extLst>
              <c:ext xmlns:c16="http://schemas.microsoft.com/office/drawing/2014/chart" uri="{C3380CC4-5D6E-409C-BE32-E72D297353CC}">
                <c16:uniqueId val="{0000000F-9292-458C-BCB4-7D8638687421}"/>
              </c:ext>
            </c:extLst>
          </c:dPt>
          <c:dPt>
            <c:idx val="8"/>
            <c:bubble3D val="0"/>
            <c:spPr>
              <a:solidFill>
                <a:srgbClr val="0098D4"/>
              </a:solidFill>
              <a:ln w="12700">
                <a:noFill/>
              </a:ln>
              <a:effectLst/>
            </c:spPr>
            <c:extLst>
              <c:ext xmlns:c16="http://schemas.microsoft.com/office/drawing/2014/chart" uri="{C3380CC4-5D6E-409C-BE32-E72D297353CC}">
                <c16:uniqueId val="{00000011-9292-458C-BCB4-7D8638687421}"/>
              </c:ext>
            </c:extLst>
          </c:dPt>
          <c:dPt>
            <c:idx val="9"/>
            <c:bubble3D val="0"/>
            <c:spPr>
              <a:solidFill>
                <a:srgbClr val="C0C1C2"/>
              </a:solidFill>
              <a:ln w="12700">
                <a:noFill/>
              </a:ln>
              <a:effectLst/>
            </c:spPr>
            <c:extLst>
              <c:ext xmlns:c16="http://schemas.microsoft.com/office/drawing/2014/chart" uri="{C3380CC4-5D6E-409C-BE32-E72D297353CC}">
                <c16:uniqueId val="{00000013-9292-458C-BCB4-7D8638687421}"/>
              </c:ext>
            </c:extLst>
          </c:dPt>
          <c:cat>
            <c:strRef>
              <c:f>'2.'!$A$8:$A$14</c:f>
              <c:strCache>
                <c:ptCount val="7"/>
                <c:pt idx="0">
                  <c:v>Storbanker 71 %</c:v>
                </c:pt>
                <c:pt idx="1">
                  <c:v>Konsumtionskredit 3,2 %</c:v>
                </c:pt>
                <c:pt idx="2">
                  <c:v>Retailbanker 11 %</c:v>
                </c:pt>
                <c:pt idx="3">
                  <c:v>VP-banker 0,7 %</c:v>
                </c:pt>
                <c:pt idx="4">
                  <c:v>Leasing 0,8 %</c:v>
                </c:pt>
                <c:pt idx="5">
                  <c:v>Sparbanker 5,4 %</c:v>
                </c:pt>
                <c:pt idx="6">
                  <c:v>Övriga 7,3 %</c:v>
                </c:pt>
              </c:strCache>
            </c:strRef>
          </c:cat>
          <c:val>
            <c:numRef>
              <c:f>'2.'!$C$8:$C$14</c:f>
              <c:numCache>
                <c:formatCode>0.0%</c:formatCode>
                <c:ptCount val="7"/>
                <c:pt idx="0">
                  <c:v>0.71248536840024213</c:v>
                </c:pt>
                <c:pt idx="1">
                  <c:v>3.1958769185257113E-2</c:v>
                </c:pt>
                <c:pt idx="2">
                  <c:v>0.11389276936975237</c:v>
                </c:pt>
                <c:pt idx="3">
                  <c:v>6.8921346441692217E-3</c:v>
                </c:pt>
                <c:pt idx="4">
                  <c:v>8.1254933129254209E-3</c:v>
                </c:pt>
                <c:pt idx="5">
                  <c:v>5.3907832577788965E-2</c:v>
                </c:pt>
                <c:pt idx="6">
                  <c:v>7.273763250986473E-2</c:v>
                </c:pt>
              </c:numCache>
            </c:numRef>
          </c:val>
          <c:extLst>
            <c:ext xmlns:c16="http://schemas.microsoft.com/office/drawing/2014/chart" uri="{C3380CC4-5D6E-409C-BE32-E72D297353CC}">
              <c16:uniqueId val="{00000014-9292-458C-BCB4-7D8638687421}"/>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83937514781506"/>
          <c:y val="7.6133340298091642E-2"/>
          <c:w val="0.33371264248135663"/>
          <c:h val="0.8167747945396294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solidFill>
            <a:sysClr val="windowText" lastClr="000000"/>
          </a:solidFill>
          <a:latin typeface="Arial" panose="020B0604020202020204" pitchFamily="34" charset="0"/>
          <a:cs typeface="Arial" panose="020B0604020202020204" pitchFamily="34" charset="0"/>
        </a:defRPr>
      </a:pPr>
      <a:endParaRPr lang="sv-SE"/>
    </a:p>
  </c:txPr>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0"/>
          <c:order val="0"/>
          <c:tx>
            <c:strRef>
              <c:f>'20.'!$B$7</c:f>
              <c:strCache>
                <c:ptCount val="1"/>
                <c:pt idx="0">
                  <c:v>Totalt</c:v>
                </c:pt>
              </c:strCache>
            </c:strRef>
          </c:tx>
          <c:spPr>
            <a:ln w="38100" cap="sq">
              <a:solidFill>
                <a:srgbClr val="98BF0C"/>
              </a:solidFill>
              <a:prstDash val="solid"/>
              <a:round/>
            </a:ln>
            <a:effectLst/>
          </c:spPr>
          <c:marker>
            <c:symbol val="none"/>
          </c:marker>
          <c:cat>
            <c:numRef>
              <c:f>'20.'!$A$8:$A$29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'20.'!$B$8:$B$29</c:f>
              <c:numCache>
                <c:formatCode>#,##0</c:formatCode>
                <c:ptCount val="22"/>
                <c:pt idx="0">
                  <c:v>638.705060742</c:v>
                </c:pt>
                <c:pt idx="1">
                  <c:v>660.7393961330099</c:v>
                </c:pt>
                <c:pt idx="2">
                  <c:v>674.33004670748005</c:v>
                </c:pt>
                <c:pt idx="3">
                  <c:v>622.79261419880993</c:v>
                </c:pt>
                <c:pt idx="4">
                  <c:v>635.69319303899999</c:v>
                </c:pt>
                <c:pt idx="5">
                  <c:v>654.23454984296006</c:v>
                </c:pt>
                <c:pt idx="6">
                  <c:v>644.13185754776009</c:v>
                </c:pt>
                <c:pt idx="7">
                  <c:v>644.80714176623997</c:v>
                </c:pt>
                <c:pt idx="8">
                  <c:v>660.75345916709989</c:v>
                </c:pt>
                <c:pt idx="9">
                  <c:v>682.72374572604997</c:v>
                </c:pt>
                <c:pt idx="10">
                  <c:v>700.05970687557988</c:v>
                </c:pt>
                <c:pt idx="11">
                  <c:v>722.20803086737999</c:v>
                </c:pt>
                <c:pt idx="12">
                  <c:v>738.70360771197011</c:v>
                </c:pt>
                <c:pt idx="13">
                  <c:v>754.78904029109003</c:v>
                </c:pt>
                <c:pt idx="14">
                  <c:v>767.33332185181996</c:v>
                </c:pt>
                <c:pt idx="15">
                  <c:v>782.45734154199988</c:v>
                </c:pt>
                <c:pt idx="16">
                  <c:v>793.33920018587014</c:v>
                </c:pt>
                <c:pt idx="17">
                  <c:v>810.6398176504299</c:v>
                </c:pt>
                <c:pt idx="18">
                  <c:v>823.40625890754893</c:v>
                </c:pt>
                <c:pt idx="19">
                  <c:v>837.53224851272</c:v>
                </c:pt>
                <c:pt idx="20">
                  <c:v>849.3232500631301</c:v>
                </c:pt>
                <c:pt idx="21">
                  <c:v>869.28201426673002</c:v>
                </c:pt>
              </c:numCache>
            </c:numRef>
          </c:val>
          <c:smooth val="0"/>
          <c:extLst>
            <c:ext xmlns:c16="http://schemas.microsoft.com/office/drawing/2014/chart" uri="{C3380CC4-5D6E-409C-BE32-E72D297353CC}">
              <c16:uniqueId val="{00000000-2EA5-48A7-8F33-DFA9728321BF}"/>
            </c:ext>
          </c:extLst>
        </c:ser>
        <c:ser>
          <c:idx val="1"/>
          <c:order val="1"/>
          <c:tx>
            <c:strRef>
              <c:f>'20.'!$C$7</c:f>
              <c:strCache>
                <c:ptCount val="1"/>
                <c:pt idx="0">
                  <c:v>Hushåll - Bolån</c:v>
                </c:pt>
              </c:strCache>
            </c:strRef>
          </c:tx>
          <c:spPr>
            <a:ln w="38100" cap="sq">
              <a:solidFill>
                <a:srgbClr val="E64848"/>
              </a:solidFill>
              <a:prstDash val="solid"/>
              <a:round/>
            </a:ln>
            <a:effectLst/>
          </c:spPr>
          <c:marker>
            <c:symbol val="none"/>
          </c:marker>
          <c:cat>
            <c:numRef>
              <c:f>'20.'!$A$8:$A$29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'20.'!$C$8:$C$29</c:f>
              <c:numCache>
                <c:formatCode>#,##0</c:formatCode>
                <c:ptCount val="22"/>
                <c:pt idx="0">
                  <c:v>460.32256937699998</c:v>
                </c:pt>
                <c:pt idx="1">
                  <c:v>482.71672142380004</c:v>
                </c:pt>
                <c:pt idx="2">
                  <c:v>497.45454047199001</c:v>
                </c:pt>
                <c:pt idx="3">
                  <c:v>449.57156451386999</c:v>
                </c:pt>
                <c:pt idx="4">
                  <c:v>465.71302310967997</c:v>
                </c:pt>
                <c:pt idx="5">
                  <c:v>481.31504711317007</c:v>
                </c:pt>
                <c:pt idx="6">
                  <c:v>471.81109521067998</c:v>
                </c:pt>
                <c:pt idx="7">
                  <c:v>472.75221234479005</c:v>
                </c:pt>
                <c:pt idx="8">
                  <c:v>487.71430570139</c:v>
                </c:pt>
                <c:pt idx="9">
                  <c:v>505.20026754468</c:v>
                </c:pt>
                <c:pt idx="10">
                  <c:v>522.41845581847997</c:v>
                </c:pt>
                <c:pt idx="11">
                  <c:v>544.90387420407001</c:v>
                </c:pt>
                <c:pt idx="12">
                  <c:v>561.57655731182012</c:v>
                </c:pt>
                <c:pt idx="13">
                  <c:v>575.31089794733998</c:v>
                </c:pt>
                <c:pt idx="14">
                  <c:v>587.19670436135993</c:v>
                </c:pt>
                <c:pt idx="15">
                  <c:v>604.50083988794995</c:v>
                </c:pt>
                <c:pt idx="16">
                  <c:v>613.84877736011003</c:v>
                </c:pt>
                <c:pt idx="17">
                  <c:v>629.25927439134</c:v>
                </c:pt>
                <c:pt idx="18" formatCode="0">
                  <c:v>640.39318787326806</c:v>
                </c:pt>
                <c:pt idx="19" formatCode="0">
                  <c:v>652.63842395061999</c:v>
                </c:pt>
                <c:pt idx="20" formatCode="0">
                  <c:v>662.52866663303996</c:v>
                </c:pt>
                <c:pt idx="21" formatCode="0">
                  <c:v>673.42372285529007</c:v>
                </c:pt>
              </c:numCache>
            </c:numRef>
          </c:val>
          <c:smooth val="0"/>
          <c:extLst>
            <c:ext xmlns:c16="http://schemas.microsoft.com/office/drawing/2014/chart" uri="{C3380CC4-5D6E-409C-BE32-E72D297353CC}">
              <c16:uniqueId val="{00000001-2EA5-48A7-8F33-DFA9728321BF}"/>
            </c:ext>
          </c:extLst>
        </c:ser>
        <c:ser>
          <c:idx val="2"/>
          <c:order val="2"/>
          <c:tx>
            <c:strRef>
              <c:f>'20.'!$D$7</c:f>
              <c:strCache>
                <c:ptCount val="1"/>
                <c:pt idx="0">
                  <c:v>Företag</c:v>
                </c:pt>
              </c:strCache>
            </c:strRef>
          </c:tx>
          <c:spPr>
            <a:ln w="38100" cap="rnd">
              <a:solidFill>
                <a:srgbClr val="4DAEC3"/>
              </a:solidFill>
              <a:prstDash val="solid"/>
              <a:round/>
            </a:ln>
            <a:effectLst/>
          </c:spPr>
          <c:marker>
            <c:symbol val="none"/>
          </c:marker>
          <c:cat>
            <c:numRef>
              <c:f>'20.'!$A$8:$A$29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'20.'!$D$8:$D$29</c:f>
              <c:numCache>
                <c:formatCode>#,##0</c:formatCode>
                <c:ptCount val="22"/>
                <c:pt idx="0">
                  <c:v>146.53884065599999</c:v>
                </c:pt>
                <c:pt idx="1">
                  <c:v>148.95742763779</c:v>
                </c:pt>
                <c:pt idx="2">
                  <c:v>149.37149105779</c:v>
                </c:pt>
                <c:pt idx="3">
                  <c:v>154.32272043335999</c:v>
                </c:pt>
                <c:pt idx="4">
                  <c:v>151.68279490002001</c:v>
                </c:pt>
                <c:pt idx="5">
                  <c:v>155.70491403659</c:v>
                </c:pt>
                <c:pt idx="6">
                  <c:v>157.51828021880999</c:v>
                </c:pt>
                <c:pt idx="7">
                  <c:v>157.18590244748998</c:v>
                </c:pt>
                <c:pt idx="8">
                  <c:v>157.93795057060998</c:v>
                </c:pt>
                <c:pt idx="9">
                  <c:v>160.45461815522998</c:v>
                </c:pt>
                <c:pt idx="10">
                  <c:v>159.39941274160998</c:v>
                </c:pt>
                <c:pt idx="11">
                  <c:v>158.86895598238002</c:v>
                </c:pt>
                <c:pt idx="12">
                  <c:v>158.99358810282001</c:v>
                </c:pt>
                <c:pt idx="13">
                  <c:v>160.7788585497</c:v>
                </c:pt>
                <c:pt idx="14">
                  <c:v>160.31933555895</c:v>
                </c:pt>
                <c:pt idx="15">
                  <c:v>159.78586548222998</c:v>
                </c:pt>
                <c:pt idx="16">
                  <c:v>161.45822250035002</c:v>
                </c:pt>
                <c:pt idx="17">
                  <c:v>162.52879280779999</c:v>
                </c:pt>
                <c:pt idx="18" formatCode="0">
                  <c:v>163.94333120968099</c:v>
                </c:pt>
                <c:pt idx="19" formatCode="0">
                  <c:v>165.84533225743999</c:v>
                </c:pt>
                <c:pt idx="20" formatCode="0">
                  <c:v>167.56376363217998</c:v>
                </c:pt>
                <c:pt idx="21" formatCode="0">
                  <c:v>176.19456334454</c:v>
                </c:pt>
              </c:numCache>
            </c:numRef>
          </c:val>
          <c:smooth val="0"/>
          <c:extLst>
            <c:ext xmlns:c16="http://schemas.microsoft.com/office/drawing/2014/chart" uri="{C3380CC4-5D6E-409C-BE32-E72D297353CC}">
              <c16:uniqueId val="{00000002-2EA5-48A7-8F33-DFA9728321BF}"/>
            </c:ext>
          </c:extLst>
        </c:ser>
        <c:ser>
          <c:idx val="3"/>
          <c:order val="3"/>
          <c:tx>
            <c:strRef>
              <c:f>'20.'!$E$7</c:f>
              <c:strCache>
                <c:ptCount val="1"/>
                <c:pt idx="0">
                  <c:v>Hushåll - Övrigt</c:v>
                </c:pt>
              </c:strCache>
            </c:strRef>
          </c:tx>
          <c:spPr>
            <a:ln w="38100" cap="sq">
              <a:solidFill>
                <a:srgbClr val="F0B600"/>
              </a:solidFill>
              <a:prstDash val="solid"/>
              <a:round/>
            </a:ln>
            <a:effectLst/>
          </c:spPr>
          <c:marker>
            <c:symbol val="none"/>
          </c:marker>
          <c:cat>
            <c:numRef>
              <c:f>'20.'!$A$8:$A$29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'20.'!$E$8:$E$29</c:f>
              <c:numCache>
                <c:formatCode>#,##0</c:formatCode>
                <c:ptCount val="22"/>
                <c:pt idx="0">
                  <c:v>31.843650708999998</c:v>
                </c:pt>
                <c:pt idx="1">
                  <c:v>29.065247071419922</c:v>
                </c:pt>
                <c:pt idx="2">
                  <c:v>27.504015177700012</c:v>
                </c:pt>
                <c:pt idx="3">
                  <c:v>18.898329251580016</c:v>
                </c:pt>
                <c:pt idx="4">
                  <c:v>18.297375029299989</c:v>
                </c:pt>
                <c:pt idx="5">
                  <c:v>17.21458869319995</c:v>
                </c:pt>
                <c:pt idx="6">
                  <c:v>14.802482118270019</c:v>
                </c:pt>
                <c:pt idx="7">
                  <c:v>14.869026973959961</c:v>
                </c:pt>
                <c:pt idx="8">
                  <c:v>15.101202895099975</c:v>
                </c:pt>
                <c:pt idx="9">
                  <c:v>17.068860026140015</c:v>
                </c:pt>
                <c:pt idx="10">
                  <c:v>18.241838315489989</c:v>
                </c:pt>
                <c:pt idx="11">
                  <c:v>18.435200680929992</c:v>
                </c:pt>
                <c:pt idx="12">
                  <c:v>18.133462297330016</c:v>
                </c:pt>
                <c:pt idx="13">
                  <c:v>18.69928379405005</c:v>
                </c:pt>
                <c:pt idx="14">
                  <c:v>19.81728193151001</c:v>
                </c:pt>
                <c:pt idx="15">
                  <c:v>18.170636171820007</c:v>
                </c:pt>
                <c:pt idx="16">
                  <c:v>18.032200325410034</c:v>
                </c:pt>
                <c:pt idx="17">
                  <c:v>18.851750451289917</c:v>
                </c:pt>
                <c:pt idx="18" formatCode="0">
                  <c:v>19.069739824599854</c:v>
                </c:pt>
                <c:pt idx="19" formatCode="0">
                  <c:v>19.048492304660034</c:v>
                </c:pt>
                <c:pt idx="20" formatCode="0">
                  <c:v>19.230819797910158</c:v>
                </c:pt>
                <c:pt idx="21" formatCode="0">
                  <c:v>19.6637280668999</c:v>
                </c:pt>
              </c:numCache>
            </c:numRef>
          </c:val>
          <c:smooth val="0"/>
          <c:extLst>
            <c:ext xmlns:c16="http://schemas.microsoft.com/office/drawing/2014/chart" uri="{C3380CC4-5D6E-409C-BE32-E72D297353CC}">
              <c16:uniqueId val="{00000003-2EA5-48A7-8F33-DFA9728321BF}"/>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0.12162234256072389"/>
          <c:y val="0.87878040406937585"/>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2"/>
          <c:order val="0"/>
          <c:tx>
            <c:strRef>
              <c:f>'21.'!$B$7</c:f>
              <c:strCache>
                <c:ptCount val="1"/>
                <c:pt idx="0">
                  <c:v>Räntenettomarginal</c:v>
                </c:pt>
              </c:strCache>
            </c:strRef>
          </c:tx>
          <c:spPr>
            <a:ln w="38100" cap="sq">
              <a:solidFill>
                <a:srgbClr val="4DAEC3"/>
              </a:solidFill>
              <a:prstDash val="solid"/>
              <a:round/>
            </a:ln>
            <a:effectLst/>
          </c:spPr>
          <c:marker>
            <c:symbol val="none"/>
          </c:marker>
          <c:cat>
            <c:numRef>
              <c:f>'21.'!$A$8:$A$29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'21.'!$B$8:$B$29</c:f>
              <c:numCache>
                <c:formatCode>0.0</c:formatCode>
                <c:ptCount val="22"/>
                <c:pt idx="0">
                  <c:v>0.94151418244961971</c:v>
                </c:pt>
                <c:pt idx="1">
                  <c:v>0.93816354310199968</c:v>
                </c:pt>
                <c:pt idx="2">
                  <c:v>0.94771969349455121</c:v>
                </c:pt>
                <c:pt idx="3">
                  <c:v>0.99914604826185205</c:v>
                </c:pt>
                <c:pt idx="4">
                  <c:v>0.89355371029246189</c:v>
                </c:pt>
                <c:pt idx="5">
                  <c:v>0.90685133823570596</c:v>
                </c:pt>
                <c:pt idx="6">
                  <c:v>0.94027556175646754</c:v>
                </c:pt>
                <c:pt idx="7">
                  <c:v>0.97829406716692169</c:v>
                </c:pt>
                <c:pt idx="8">
                  <c:v>1.0061268151121201</c:v>
                </c:pt>
                <c:pt idx="9">
                  <c:v>0.99346539385935184</c:v>
                </c:pt>
                <c:pt idx="10">
                  <c:v>0.98177943366214016</c:v>
                </c:pt>
                <c:pt idx="11">
                  <c:v>0.99801505246712374</c:v>
                </c:pt>
                <c:pt idx="12">
                  <c:v>1.1407517626499508</c:v>
                </c:pt>
                <c:pt idx="13">
                  <c:v>1.1184120374330955</c:v>
                </c:pt>
                <c:pt idx="14">
                  <c:v>1.119886046094613</c:v>
                </c:pt>
                <c:pt idx="15">
                  <c:v>1.125109606287537</c:v>
                </c:pt>
                <c:pt idx="16">
                  <c:v>1.1031545436019199</c:v>
                </c:pt>
                <c:pt idx="17">
                  <c:v>1.0773130270019797</c:v>
                </c:pt>
                <c:pt idx="18">
                  <c:v>1.0756783961989913</c:v>
                </c:pt>
                <c:pt idx="19">
                  <c:v>1.0918828044388591</c:v>
                </c:pt>
                <c:pt idx="20">
                  <c:v>1.05401324141449</c:v>
                </c:pt>
                <c:pt idx="21">
                  <c:v>1.10341591625652</c:v>
                </c:pt>
              </c:numCache>
            </c:numRef>
          </c:val>
          <c:smooth val="0"/>
          <c:extLst>
            <c:ext xmlns:c16="http://schemas.microsoft.com/office/drawing/2014/chart" uri="{C3380CC4-5D6E-409C-BE32-E72D297353CC}">
              <c16:uniqueId val="{00000000-48F5-4E8D-AF55-7AF28975F372}"/>
            </c:ext>
          </c:extLst>
        </c:ser>
        <c:ser>
          <c:idx val="1"/>
          <c:order val="1"/>
          <c:tx>
            <c:strRef>
              <c:f>'21.'!$C$7</c:f>
              <c:strCache>
                <c:ptCount val="1"/>
                <c:pt idx="0">
                  <c:v>Andel problemlån</c:v>
                </c:pt>
              </c:strCache>
            </c:strRef>
          </c:tx>
          <c:spPr>
            <a:ln w="38100" cap="sq">
              <a:solidFill>
                <a:srgbClr val="E64848"/>
              </a:solidFill>
              <a:prstDash val="solid"/>
              <a:round/>
            </a:ln>
            <a:effectLst/>
          </c:spPr>
          <c:marker>
            <c:symbol val="none"/>
          </c:marker>
          <c:cat>
            <c:numRef>
              <c:f>'21.'!$A$8:$A$29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'21.'!$C$8:$C$29</c:f>
              <c:numCache>
                <c:formatCode>0.0</c:formatCode>
                <c:ptCount val="22"/>
                <c:pt idx="0">
                  <c:v>0.51416823108018705</c:v>
                </c:pt>
                <c:pt idx="1">
                  <c:v>0.47367427178525384</c:v>
                </c:pt>
                <c:pt idx="2">
                  <c:v>0.50332605910284156</c:v>
                </c:pt>
                <c:pt idx="3">
                  <c:v>0.39632207120648305</c:v>
                </c:pt>
                <c:pt idx="4">
                  <c:v>0.40270494519358807</c:v>
                </c:pt>
                <c:pt idx="5">
                  <c:v>0.40078239291115286</c:v>
                </c:pt>
                <c:pt idx="6">
                  <c:v>0.38446313753897859</c:v>
                </c:pt>
                <c:pt idx="7">
                  <c:v>0.33757981437614276</c:v>
                </c:pt>
                <c:pt idx="8">
                  <c:v>0.29991007481611121</c:v>
                </c:pt>
                <c:pt idx="9">
                  <c:v>0.31324666641207166</c:v>
                </c:pt>
                <c:pt idx="10">
                  <c:v>0.30200534130963103</c:v>
                </c:pt>
                <c:pt idx="11">
                  <c:v>0.28796290698443933</c:v>
                </c:pt>
                <c:pt idx="12">
                  <c:v>0.26681716824997165</c:v>
                </c:pt>
                <c:pt idx="13">
                  <c:v>0.25577657243421142</c:v>
                </c:pt>
                <c:pt idx="14">
                  <c:v>0.25320995904321353</c:v>
                </c:pt>
                <c:pt idx="15">
                  <c:v>0.22967444697382486</c:v>
                </c:pt>
                <c:pt idx="16">
                  <c:v>0.22588478303552656</c:v>
                </c:pt>
                <c:pt idx="17">
                  <c:v>0.26530417848630822</c:v>
                </c:pt>
                <c:pt idx="18">
                  <c:v>0.24475778579966401</c:v>
                </c:pt>
                <c:pt idx="19">
                  <c:v>0.25374212317869688</c:v>
                </c:pt>
                <c:pt idx="20">
                  <c:v>0.26013858928188799</c:v>
                </c:pt>
                <c:pt idx="21">
                  <c:v>0.24570141892506497</c:v>
                </c:pt>
              </c:numCache>
            </c:numRef>
          </c:val>
          <c:smooth val="0"/>
          <c:extLst>
            <c:ext xmlns:c16="http://schemas.microsoft.com/office/drawing/2014/chart" uri="{C3380CC4-5D6E-409C-BE32-E72D297353CC}">
              <c16:uniqueId val="{00000001-48F5-4E8D-AF55-7AF28975F372}"/>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1.2"/>
          <c:min val="0"/>
        </c:scaling>
        <c:delete val="0"/>
        <c:axPos val="l"/>
        <c:majorGridlines>
          <c:spPr>
            <a:ln w="9525" cap="flat" cmpd="sng" algn="ctr">
              <a:solidFill>
                <a:srgbClr val="A4A4A4"/>
              </a:solidFill>
              <a:round/>
            </a:ln>
            <a:effectLst/>
          </c:spPr>
        </c:majorGridlines>
        <c:numFmt formatCode="0.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0.2"/>
      </c:valAx>
      <c:spPr>
        <a:noFill/>
        <a:ln>
          <a:solidFill>
            <a:srgbClr val="A4A4A4"/>
          </a:solidFill>
        </a:ln>
        <a:effectLst/>
      </c:spPr>
    </c:plotArea>
    <c:legend>
      <c:legendPos val="b"/>
      <c:layout>
        <c:manualLayout>
          <c:xMode val="edge"/>
          <c:yMode val="edge"/>
          <c:x val="0.1400408667479858"/>
          <c:y val="0.88098805348769493"/>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6015418779795663"/>
        </c:manualLayout>
      </c:layout>
      <c:lineChart>
        <c:grouping val="standard"/>
        <c:varyColors val="0"/>
        <c:ser>
          <c:idx val="0"/>
          <c:order val="0"/>
          <c:tx>
            <c:strRef>
              <c:f>'22.'!$B$7</c:f>
              <c:strCache>
                <c:ptCount val="1"/>
                <c:pt idx="0">
                  <c:v>Avkastning på eget kapital</c:v>
                </c:pt>
              </c:strCache>
            </c:strRef>
          </c:tx>
          <c:spPr>
            <a:ln w="38100" cap="sq">
              <a:solidFill>
                <a:srgbClr val="4DAEC3"/>
              </a:solidFill>
              <a:prstDash val="solid"/>
              <a:round/>
            </a:ln>
            <a:effectLst/>
          </c:spPr>
          <c:marker>
            <c:symbol val="none"/>
          </c:marker>
          <c:cat>
            <c:numRef>
              <c:f>'22.'!$A$8:$A$29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'22.'!$B$8:$B$29</c:f>
              <c:numCache>
                <c:formatCode>0</c:formatCode>
                <c:ptCount val="22"/>
                <c:pt idx="0">
                  <c:v>13.104067450441883</c:v>
                </c:pt>
                <c:pt idx="1">
                  <c:v>8.9117785788592343</c:v>
                </c:pt>
                <c:pt idx="2">
                  <c:v>7.2741992930615327</c:v>
                </c:pt>
                <c:pt idx="3">
                  <c:v>5.9677360640452042</c:v>
                </c:pt>
                <c:pt idx="4">
                  <c:v>4.3525652922923141</c:v>
                </c:pt>
                <c:pt idx="5">
                  <c:v>7.9863429370073087</c:v>
                </c:pt>
                <c:pt idx="6">
                  <c:v>6.9420038188493196</c:v>
                </c:pt>
                <c:pt idx="7">
                  <c:v>5.3933168519270689</c:v>
                </c:pt>
                <c:pt idx="8">
                  <c:v>13.258572774534393</c:v>
                </c:pt>
                <c:pt idx="9">
                  <c:v>9.1163148071187763</c:v>
                </c:pt>
                <c:pt idx="10">
                  <c:v>7.596224546952711</c:v>
                </c:pt>
                <c:pt idx="11">
                  <c:v>6.8864384543962487</c:v>
                </c:pt>
                <c:pt idx="12">
                  <c:v>12.679964260541546</c:v>
                </c:pt>
                <c:pt idx="13">
                  <c:v>8.2512634427392531</c:v>
                </c:pt>
                <c:pt idx="14">
                  <c:v>6.9198261916429891</c:v>
                </c:pt>
                <c:pt idx="15">
                  <c:v>6.1111127116585822</c:v>
                </c:pt>
                <c:pt idx="16">
                  <c:v>16.155482632108878</c:v>
                </c:pt>
                <c:pt idx="17">
                  <c:v>10.486355597014709</c:v>
                </c:pt>
                <c:pt idx="18">
                  <c:v>9.2121534310961941</c:v>
                </c:pt>
                <c:pt idx="19">
                  <c:v>8.0613947893765445</c:v>
                </c:pt>
                <c:pt idx="20">
                  <c:v>3.2620251543336907</c:v>
                </c:pt>
                <c:pt idx="21">
                  <c:v>4.3602681647584065</c:v>
                </c:pt>
              </c:numCache>
            </c:numRef>
          </c:val>
          <c:smooth val="0"/>
          <c:extLst>
            <c:ext xmlns:c16="http://schemas.microsoft.com/office/drawing/2014/chart" uri="{C3380CC4-5D6E-409C-BE32-E72D297353CC}">
              <c16:uniqueId val="{00000000-D927-44C4-BF6F-CC72C08C8D52}"/>
            </c:ext>
          </c:extLst>
        </c:ser>
        <c:ser>
          <c:idx val="1"/>
          <c:order val="1"/>
          <c:tx>
            <c:strRef>
              <c:f>'22.'!$C$7</c:f>
              <c:strCache>
                <c:ptCount val="1"/>
                <c:pt idx="0">
                  <c:v>Avkastning på eget kapital, glidande medelvärde</c:v>
                </c:pt>
              </c:strCache>
            </c:strRef>
          </c:tx>
          <c:spPr>
            <a:ln w="38100" cap="rnd">
              <a:solidFill>
                <a:srgbClr val="4DAEC3"/>
              </a:solidFill>
              <a:prstDash val="dash"/>
              <a:round/>
            </a:ln>
            <a:effectLst/>
          </c:spPr>
          <c:marker>
            <c:symbol val="none"/>
          </c:marker>
          <c:cat>
            <c:numRef>
              <c:f>'22.'!$A$8:$A$29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'22.'!$C$8:$C$29</c:f>
              <c:numCache>
                <c:formatCode>0</c:formatCode>
                <c:ptCount val="22"/>
                <c:pt idx="0">
                  <c:v>9.7839642526312272</c:v>
                </c:pt>
                <c:pt idx="1">
                  <c:v>9.4619146826019165</c:v>
                </c:pt>
                <c:pt idx="2">
                  <c:v>9.0697285990095047</c:v>
                </c:pt>
                <c:pt idx="3">
                  <c:v>8.8144453466019641</c:v>
                </c:pt>
                <c:pt idx="4">
                  <c:v>6.6265698070645707</c:v>
                </c:pt>
                <c:pt idx="5">
                  <c:v>6.3952108966015899</c:v>
                </c:pt>
                <c:pt idx="6">
                  <c:v>6.3121620280485358</c:v>
                </c:pt>
                <c:pt idx="7">
                  <c:v>6.1685572250190024</c:v>
                </c:pt>
                <c:pt idx="8">
                  <c:v>8.3950590955795228</c:v>
                </c:pt>
                <c:pt idx="9">
                  <c:v>8.6775520631073899</c:v>
                </c:pt>
                <c:pt idx="10">
                  <c:v>8.8411072451332373</c:v>
                </c:pt>
                <c:pt idx="11">
                  <c:v>9.2143876457505325</c:v>
                </c:pt>
                <c:pt idx="12">
                  <c:v>9.0697355172523189</c:v>
                </c:pt>
                <c:pt idx="13">
                  <c:v>8.8534726761574394</c:v>
                </c:pt>
                <c:pt idx="14">
                  <c:v>8.6843730873300071</c:v>
                </c:pt>
                <c:pt idx="15">
                  <c:v>8.4905416516455912</c:v>
                </c:pt>
                <c:pt idx="16">
                  <c:v>9.3594212445374243</c:v>
                </c:pt>
                <c:pt idx="17">
                  <c:v>9.9181942831062884</c:v>
                </c:pt>
                <c:pt idx="18">
                  <c:v>10.49127609296959</c:v>
                </c:pt>
                <c:pt idx="19">
                  <c:v>10.978846612399082</c:v>
                </c:pt>
                <c:pt idx="20">
                  <c:v>7.755482242955285</c:v>
                </c:pt>
                <c:pt idx="21">
                  <c:v>6.2239603848912095</c:v>
                </c:pt>
              </c:numCache>
            </c:numRef>
          </c:val>
          <c:smooth val="0"/>
          <c:extLst>
            <c:ext xmlns:c16="http://schemas.microsoft.com/office/drawing/2014/chart" uri="{C3380CC4-5D6E-409C-BE32-E72D297353CC}">
              <c16:uniqueId val="{00000001-D927-44C4-BF6F-CC72C08C8D52}"/>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0"/>
          <c:order val="0"/>
          <c:tx>
            <c:strRef>
              <c:f>'23.'!$B$7</c:f>
              <c:strCache>
                <c:ptCount val="1"/>
                <c:pt idx="0">
                  <c:v>Totalt</c:v>
                </c:pt>
              </c:strCache>
            </c:strRef>
          </c:tx>
          <c:spPr>
            <a:ln w="38100" cap="sq">
              <a:solidFill>
                <a:srgbClr val="98BF0C"/>
              </a:solidFill>
              <a:prstDash val="solid"/>
              <a:round/>
            </a:ln>
            <a:effectLst/>
          </c:spPr>
          <c:marker>
            <c:symbol val="none"/>
          </c:marker>
          <c:cat>
            <c:numRef>
              <c:f>'23.'!$A$8:$A$29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'23.'!$B$8:$B$29</c:f>
              <c:numCache>
                <c:formatCode>#,##0</c:formatCode>
                <c:ptCount val="22"/>
                <c:pt idx="0">
                  <c:v>263.74971600800001</c:v>
                </c:pt>
                <c:pt idx="1">
                  <c:v>272.89247678999999</c:v>
                </c:pt>
                <c:pt idx="2">
                  <c:v>279.78683162999999</c:v>
                </c:pt>
                <c:pt idx="3">
                  <c:v>286.24068478600003</c:v>
                </c:pt>
                <c:pt idx="4">
                  <c:v>295.08234514399999</c:v>
                </c:pt>
                <c:pt idx="5">
                  <c:v>311.64466952200002</c:v>
                </c:pt>
                <c:pt idx="6">
                  <c:v>319.65906015799999</c:v>
                </c:pt>
                <c:pt idx="7">
                  <c:v>323.352613238</c:v>
                </c:pt>
                <c:pt idx="8">
                  <c:v>328.84425057499999</c:v>
                </c:pt>
                <c:pt idx="9">
                  <c:v>336.05576290400001</c:v>
                </c:pt>
                <c:pt idx="10">
                  <c:v>344.78624979700004</c:v>
                </c:pt>
                <c:pt idx="11">
                  <c:v>343.41088034799998</c:v>
                </c:pt>
                <c:pt idx="12">
                  <c:v>348.34850349300001</c:v>
                </c:pt>
                <c:pt idx="13">
                  <c:v>360.483432499</c:v>
                </c:pt>
                <c:pt idx="14">
                  <c:v>367.89132960500001</c:v>
                </c:pt>
                <c:pt idx="15">
                  <c:v>368.45496731500003</c:v>
                </c:pt>
                <c:pt idx="16">
                  <c:v>374.70473533000001</c:v>
                </c:pt>
                <c:pt idx="17">
                  <c:v>384.303118799</c:v>
                </c:pt>
                <c:pt idx="18">
                  <c:v>388.08657509099999</c:v>
                </c:pt>
                <c:pt idx="19">
                  <c:v>394.77646341699995</c:v>
                </c:pt>
                <c:pt idx="20">
                  <c:v>400.425418267</c:v>
                </c:pt>
                <c:pt idx="21">
                  <c:v>411.44937951100002</c:v>
                </c:pt>
              </c:numCache>
            </c:numRef>
          </c:val>
          <c:smooth val="0"/>
          <c:extLst>
            <c:ext xmlns:c16="http://schemas.microsoft.com/office/drawing/2014/chart" uri="{C3380CC4-5D6E-409C-BE32-E72D297353CC}">
              <c16:uniqueId val="{00000000-993E-4636-AD4D-A678E2183AE4}"/>
            </c:ext>
          </c:extLst>
        </c:ser>
        <c:ser>
          <c:idx val="1"/>
          <c:order val="1"/>
          <c:tx>
            <c:strRef>
              <c:f>'23.'!$C$7</c:f>
              <c:strCache>
                <c:ptCount val="1"/>
                <c:pt idx="0">
                  <c:v>Hushåll - Bolån</c:v>
                </c:pt>
              </c:strCache>
            </c:strRef>
          </c:tx>
          <c:spPr>
            <a:ln w="38100" cap="sq">
              <a:solidFill>
                <a:srgbClr val="E64848"/>
              </a:solidFill>
              <a:prstDash val="solid"/>
              <a:round/>
            </a:ln>
            <a:effectLst/>
          </c:spPr>
          <c:marker>
            <c:symbol val="none"/>
          </c:marker>
          <c:cat>
            <c:numRef>
              <c:f>'23.'!$A$8:$A$29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'23.'!$C$8:$C$29</c:f>
              <c:numCache>
                <c:formatCode>#,##0</c:formatCode>
                <c:ptCount val="22"/>
                <c:pt idx="0">
                  <c:v>85.814955439000002</c:v>
                </c:pt>
                <c:pt idx="1">
                  <c:v>88.370526054999999</c:v>
                </c:pt>
                <c:pt idx="2">
                  <c:v>94.305772130999998</c:v>
                </c:pt>
                <c:pt idx="3">
                  <c:v>98.842085475000005</c:v>
                </c:pt>
                <c:pt idx="4">
                  <c:v>104.927208975</c:v>
                </c:pt>
                <c:pt idx="5">
                  <c:v>112.786545846</c:v>
                </c:pt>
                <c:pt idx="6">
                  <c:v>118.017281309</c:v>
                </c:pt>
                <c:pt idx="7">
                  <c:v>121.33148565899999</c:v>
                </c:pt>
                <c:pt idx="8">
                  <c:v>125.899815672</c:v>
                </c:pt>
                <c:pt idx="9">
                  <c:v>128.53986236599999</c:v>
                </c:pt>
                <c:pt idx="10">
                  <c:v>131.43471649700001</c:v>
                </c:pt>
                <c:pt idx="11">
                  <c:v>135.44253142400001</c:v>
                </c:pt>
                <c:pt idx="12">
                  <c:v>137.661359498</c:v>
                </c:pt>
                <c:pt idx="13">
                  <c:v>140.13487235100001</c:v>
                </c:pt>
                <c:pt idx="14">
                  <c:v>141.264165693</c:v>
                </c:pt>
                <c:pt idx="15">
                  <c:v>143.76752725099999</c:v>
                </c:pt>
                <c:pt idx="16">
                  <c:v>143.79372019900001</c:v>
                </c:pt>
                <c:pt idx="17">
                  <c:v>146.74714034600001</c:v>
                </c:pt>
                <c:pt idx="18" formatCode="0">
                  <c:v>149.18647579399999</c:v>
                </c:pt>
                <c:pt idx="19" formatCode="0">
                  <c:v>155.71219605799999</c:v>
                </c:pt>
                <c:pt idx="20" formatCode="0">
                  <c:v>165.70730493100001</c:v>
                </c:pt>
                <c:pt idx="21" formatCode="0">
                  <c:v>170.59734994799999</c:v>
                </c:pt>
              </c:numCache>
            </c:numRef>
          </c:val>
          <c:smooth val="0"/>
          <c:extLst>
            <c:ext xmlns:c16="http://schemas.microsoft.com/office/drawing/2014/chart" uri="{C3380CC4-5D6E-409C-BE32-E72D297353CC}">
              <c16:uniqueId val="{00000001-993E-4636-AD4D-A678E2183AE4}"/>
            </c:ext>
          </c:extLst>
        </c:ser>
        <c:ser>
          <c:idx val="2"/>
          <c:order val="2"/>
          <c:tx>
            <c:strRef>
              <c:f>'23.'!$D$7</c:f>
              <c:strCache>
                <c:ptCount val="1"/>
                <c:pt idx="0">
                  <c:v>Hushåll - Övrigt</c:v>
                </c:pt>
              </c:strCache>
            </c:strRef>
          </c:tx>
          <c:spPr>
            <a:ln w="38100" cap="rnd">
              <a:solidFill>
                <a:srgbClr val="F0B600"/>
              </a:solidFill>
              <a:prstDash val="solid"/>
              <a:round/>
            </a:ln>
            <a:effectLst/>
          </c:spPr>
          <c:marker>
            <c:symbol val="none"/>
          </c:marker>
          <c:cat>
            <c:numRef>
              <c:f>'23.'!$A$8:$A$29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'23.'!$D$8:$D$29</c:f>
              <c:numCache>
                <c:formatCode>#,##0</c:formatCode>
                <c:ptCount val="22"/>
                <c:pt idx="0">
                  <c:v>93.985455678999998</c:v>
                </c:pt>
                <c:pt idx="1">
                  <c:v>99.232354689000005</c:v>
                </c:pt>
                <c:pt idx="2">
                  <c:v>98.375243357000002</c:v>
                </c:pt>
                <c:pt idx="3">
                  <c:v>99.690399884000001</c:v>
                </c:pt>
                <c:pt idx="4">
                  <c:v>100.606209976</c:v>
                </c:pt>
                <c:pt idx="5">
                  <c:v>104.720315919</c:v>
                </c:pt>
                <c:pt idx="6">
                  <c:v>105.660144683</c:v>
                </c:pt>
                <c:pt idx="7">
                  <c:v>105.91024553299999</c:v>
                </c:pt>
                <c:pt idx="8">
                  <c:v>105.660050094</c:v>
                </c:pt>
                <c:pt idx="9">
                  <c:v>109.450448302</c:v>
                </c:pt>
                <c:pt idx="10">
                  <c:v>110.719161298</c:v>
                </c:pt>
                <c:pt idx="11">
                  <c:v>108.095409559</c:v>
                </c:pt>
                <c:pt idx="12">
                  <c:v>108.203435754</c:v>
                </c:pt>
                <c:pt idx="13">
                  <c:v>114.88757694900001</c:v>
                </c:pt>
                <c:pt idx="14">
                  <c:v>115.99708508400001</c:v>
                </c:pt>
                <c:pt idx="15">
                  <c:v>114.879939941</c:v>
                </c:pt>
                <c:pt idx="16">
                  <c:v>118.97152237</c:v>
                </c:pt>
                <c:pt idx="17">
                  <c:v>123.080902166</c:v>
                </c:pt>
                <c:pt idx="18" formatCode="0">
                  <c:v>124.41404942200001</c:v>
                </c:pt>
                <c:pt idx="19" formatCode="0">
                  <c:v>123.01311529199999</c:v>
                </c:pt>
                <c:pt idx="20" formatCode="0">
                  <c:v>117.85609261099999</c:v>
                </c:pt>
                <c:pt idx="21" formatCode="0">
                  <c:v>121.007899634</c:v>
                </c:pt>
              </c:numCache>
            </c:numRef>
          </c:val>
          <c:smooth val="0"/>
          <c:extLst>
            <c:ext xmlns:c16="http://schemas.microsoft.com/office/drawing/2014/chart" uri="{C3380CC4-5D6E-409C-BE32-E72D297353CC}">
              <c16:uniqueId val="{00000002-993E-4636-AD4D-A678E2183AE4}"/>
            </c:ext>
          </c:extLst>
        </c:ser>
        <c:ser>
          <c:idx val="3"/>
          <c:order val="3"/>
          <c:tx>
            <c:strRef>
              <c:f>'23.'!$E$7</c:f>
              <c:strCache>
                <c:ptCount val="1"/>
                <c:pt idx="0">
                  <c:v>Företag</c:v>
                </c:pt>
              </c:strCache>
            </c:strRef>
          </c:tx>
          <c:spPr>
            <a:ln w="38100" cap="sq">
              <a:solidFill>
                <a:srgbClr val="4DAEC3"/>
              </a:solidFill>
              <a:prstDash val="solid"/>
              <a:round/>
            </a:ln>
            <a:effectLst/>
          </c:spPr>
          <c:marker>
            <c:symbol val="none"/>
          </c:marker>
          <c:cat>
            <c:numRef>
              <c:f>'23.'!$A$8:$A$29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'23.'!$E$8:$E$29</c:f>
              <c:numCache>
                <c:formatCode>#,##0</c:formatCode>
                <c:ptCount val="22"/>
                <c:pt idx="0">
                  <c:v>83.949304889999993</c:v>
                </c:pt>
                <c:pt idx="1">
                  <c:v>85.289596046</c:v>
                </c:pt>
                <c:pt idx="2">
                  <c:v>87.105816141999995</c:v>
                </c:pt>
                <c:pt idx="3">
                  <c:v>87.708199426999997</c:v>
                </c:pt>
                <c:pt idx="4">
                  <c:v>89.548926193</c:v>
                </c:pt>
                <c:pt idx="5">
                  <c:v>94.137807757000004</c:v>
                </c:pt>
                <c:pt idx="6">
                  <c:v>95.981634166000006</c:v>
                </c:pt>
                <c:pt idx="7">
                  <c:v>96.110882046</c:v>
                </c:pt>
                <c:pt idx="8">
                  <c:v>97.284384809000002</c:v>
                </c:pt>
                <c:pt idx="9">
                  <c:v>98.065452235999999</c:v>
                </c:pt>
                <c:pt idx="10">
                  <c:v>102.632372002</c:v>
                </c:pt>
                <c:pt idx="11">
                  <c:v>99.872939364999993</c:v>
                </c:pt>
                <c:pt idx="12">
                  <c:v>102.483708241</c:v>
                </c:pt>
                <c:pt idx="13">
                  <c:v>105.460983199</c:v>
                </c:pt>
                <c:pt idx="14">
                  <c:v>110.63007882799999</c:v>
                </c:pt>
                <c:pt idx="15">
                  <c:v>109.807500123</c:v>
                </c:pt>
                <c:pt idx="16">
                  <c:v>111.939492761</c:v>
                </c:pt>
                <c:pt idx="17">
                  <c:v>114.47507628699999</c:v>
                </c:pt>
                <c:pt idx="18" formatCode="0">
                  <c:v>114.48604987500001</c:v>
                </c:pt>
                <c:pt idx="19" formatCode="0">
                  <c:v>116.051152067</c:v>
                </c:pt>
                <c:pt idx="20" formatCode="0">
                  <c:v>116.86202072499999</c:v>
                </c:pt>
                <c:pt idx="21" formatCode="0">
                  <c:v>119.844129929</c:v>
                </c:pt>
              </c:numCache>
            </c:numRef>
          </c:val>
          <c:smooth val="0"/>
          <c:extLst>
            <c:ext xmlns:c16="http://schemas.microsoft.com/office/drawing/2014/chart" uri="{C3380CC4-5D6E-409C-BE32-E72D297353CC}">
              <c16:uniqueId val="{00000003-993E-4636-AD4D-A678E2183AE4}"/>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0.12425356030176131"/>
          <c:y val="0.90968749592584386"/>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2"/>
          <c:order val="0"/>
          <c:tx>
            <c:strRef>
              <c:f>'24.'!$B$7</c:f>
              <c:strCache>
                <c:ptCount val="1"/>
                <c:pt idx="0">
                  <c:v>Räntenettomarginal</c:v>
                </c:pt>
              </c:strCache>
            </c:strRef>
          </c:tx>
          <c:spPr>
            <a:ln w="38100" cap="sq">
              <a:solidFill>
                <a:srgbClr val="4DAEC3"/>
              </a:solidFill>
              <a:prstDash val="solid"/>
              <a:round/>
            </a:ln>
            <a:effectLst/>
          </c:spPr>
          <c:marker>
            <c:symbol val="none"/>
          </c:marker>
          <c:cat>
            <c:numRef>
              <c:f>'24.'!$A$8:$A$29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'24.'!$B$8:$B$29</c:f>
              <c:numCache>
                <c:formatCode>0.0</c:formatCode>
                <c:ptCount val="22"/>
                <c:pt idx="0">
                  <c:v>1.87883180227265</c:v>
                </c:pt>
                <c:pt idx="1">
                  <c:v>1.7820902810114958</c:v>
                </c:pt>
                <c:pt idx="2">
                  <c:v>1.72605330377152</c:v>
                </c:pt>
                <c:pt idx="3">
                  <c:v>1.6548358395680598</c:v>
                </c:pt>
                <c:pt idx="4">
                  <c:v>1.6126960988107331</c:v>
                </c:pt>
                <c:pt idx="5">
                  <c:v>1.5693368465468343</c:v>
                </c:pt>
                <c:pt idx="6">
                  <c:v>1.5674117126763392</c:v>
                </c:pt>
                <c:pt idx="7">
                  <c:v>1.5691570277242939</c:v>
                </c:pt>
                <c:pt idx="8">
                  <c:v>1.5981487810365818</c:v>
                </c:pt>
                <c:pt idx="9">
                  <c:v>1.5680468217062791</c:v>
                </c:pt>
                <c:pt idx="10">
                  <c:v>1.5603818654048616</c:v>
                </c:pt>
                <c:pt idx="11">
                  <c:v>1.557464531420127</c:v>
                </c:pt>
                <c:pt idx="12">
                  <c:v>1.5526774824574823</c:v>
                </c:pt>
                <c:pt idx="13">
                  <c:v>1.5222706450461103</c:v>
                </c:pt>
                <c:pt idx="14">
                  <c:v>1.5267320792476642</c:v>
                </c:pt>
                <c:pt idx="15">
                  <c:v>1.5149272216073029</c:v>
                </c:pt>
                <c:pt idx="16">
                  <c:v>1.6308194344973164</c:v>
                </c:pt>
                <c:pt idx="17">
                  <c:v>1.614732716348467</c:v>
                </c:pt>
                <c:pt idx="18">
                  <c:v>1.6148648378176491</c:v>
                </c:pt>
                <c:pt idx="19">
                  <c:v>1.5896876782085412</c:v>
                </c:pt>
                <c:pt idx="20">
                  <c:v>1.6581670795854</c:v>
                </c:pt>
                <c:pt idx="21">
                  <c:v>1.6340597272893003</c:v>
                </c:pt>
              </c:numCache>
            </c:numRef>
          </c:val>
          <c:smooth val="0"/>
          <c:extLst>
            <c:ext xmlns:c16="http://schemas.microsoft.com/office/drawing/2014/chart" uri="{C3380CC4-5D6E-409C-BE32-E72D297353CC}">
              <c16:uniqueId val="{00000000-31CA-4C09-ABF4-3F923B75E32E}"/>
            </c:ext>
          </c:extLst>
        </c:ser>
        <c:ser>
          <c:idx val="1"/>
          <c:order val="1"/>
          <c:tx>
            <c:strRef>
              <c:f>'24.'!$C$7</c:f>
              <c:strCache>
                <c:ptCount val="1"/>
                <c:pt idx="0">
                  <c:v>Andel problemlån</c:v>
                </c:pt>
              </c:strCache>
            </c:strRef>
          </c:tx>
          <c:spPr>
            <a:ln w="38100" cap="sq">
              <a:solidFill>
                <a:srgbClr val="E64848"/>
              </a:solidFill>
              <a:prstDash val="solid"/>
              <a:round/>
            </a:ln>
            <a:effectLst/>
          </c:spPr>
          <c:marker>
            <c:symbol val="none"/>
          </c:marker>
          <c:cat>
            <c:numRef>
              <c:f>'24.'!$A$8:$A$29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'24.'!$C$8:$C$29</c:f>
              <c:numCache>
                <c:formatCode>0.0</c:formatCode>
                <c:ptCount val="22"/>
                <c:pt idx="0">
                  <c:v>0.8536825768732399</c:v>
                </c:pt>
                <c:pt idx="1">
                  <c:v>0.83183036685393219</c:v>
                </c:pt>
                <c:pt idx="2">
                  <c:v>0.78667814296220806</c:v>
                </c:pt>
                <c:pt idx="3">
                  <c:v>0.68284018551053216</c:v>
                </c:pt>
                <c:pt idx="4">
                  <c:v>0.62031217049482368</c:v>
                </c:pt>
                <c:pt idx="5">
                  <c:v>0.52250950715066846</c:v>
                </c:pt>
                <c:pt idx="6">
                  <c:v>0.51244621529992063</c:v>
                </c:pt>
                <c:pt idx="7">
                  <c:v>0.56147031445944207</c:v>
                </c:pt>
                <c:pt idx="8">
                  <c:v>0.55641649217585143</c:v>
                </c:pt>
                <c:pt idx="9">
                  <c:v>0.48471885984303692</c:v>
                </c:pt>
                <c:pt idx="10">
                  <c:v>0.44754442303849729</c:v>
                </c:pt>
                <c:pt idx="11">
                  <c:v>0.4167292631423703</c:v>
                </c:pt>
                <c:pt idx="12">
                  <c:v>0.57327857442131325</c:v>
                </c:pt>
                <c:pt idx="13">
                  <c:v>0.56282985702825294</c:v>
                </c:pt>
                <c:pt idx="14">
                  <c:v>0.59599296375193445</c:v>
                </c:pt>
                <c:pt idx="15">
                  <c:v>0.47600816972381893</c:v>
                </c:pt>
                <c:pt idx="16">
                  <c:v>0.44944401196395334</c:v>
                </c:pt>
                <c:pt idx="17">
                  <c:v>0.51427743250376601</c:v>
                </c:pt>
                <c:pt idx="18">
                  <c:v>0.54618409502039111</c:v>
                </c:pt>
                <c:pt idx="19">
                  <c:v>0.42052677119988369</c:v>
                </c:pt>
                <c:pt idx="20">
                  <c:v>0.59156785536365297</c:v>
                </c:pt>
                <c:pt idx="21">
                  <c:v>0.52105827669289895</c:v>
                </c:pt>
              </c:numCache>
            </c:numRef>
          </c:val>
          <c:smooth val="0"/>
          <c:extLst>
            <c:ext xmlns:c16="http://schemas.microsoft.com/office/drawing/2014/chart" uri="{C3380CC4-5D6E-409C-BE32-E72D297353CC}">
              <c16:uniqueId val="{00000001-31CA-4C09-ABF4-3F923B75E32E}"/>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2.5"/>
          <c:min val="0"/>
        </c:scaling>
        <c:delete val="0"/>
        <c:axPos val="l"/>
        <c:majorGridlines>
          <c:spPr>
            <a:ln w="9525" cap="flat" cmpd="sng" algn="ctr">
              <a:solidFill>
                <a:srgbClr val="A4A4A4"/>
              </a:solidFill>
              <a:round/>
            </a:ln>
            <a:effectLst/>
          </c:spPr>
        </c:majorGridlines>
        <c:numFmt formatCode="0.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0.5"/>
      </c:valAx>
      <c:spPr>
        <a:noFill/>
        <a:ln>
          <a:solidFill>
            <a:srgbClr val="A4A4A4"/>
          </a:solidFill>
        </a:ln>
        <a:effectLst/>
      </c:spPr>
    </c:plotArea>
    <c:legend>
      <c:legendPos val="b"/>
      <c:layout>
        <c:manualLayout>
          <c:xMode val="edge"/>
          <c:yMode val="edge"/>
          <c:x val="0.12425356030176131"/>
          <c:y val="0.90968749592584386"/>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3954299939"/>
        </c:manualLayout>
      </c:layout>
      <c:lineChart>
        <c:grouping val="standard"/>
        <c:varyColors val="0"/>
        <c:ser>
          <c:idx val="0"/>
          <c:order val="0"/>
          <c:tx>
            <c:strRef>
              <c:f>'25.'!$B$7</c:f>
              <c:strCache>
                <c:ptCount val="1"/>
                <c:pt idx="0">
                  <c:v>Avkastning på eget kapital</c:v>
                </c:pt>
              </c:strCache>
            </c:strRef>
          </c:tx>
          <c:spPr>
            <a:ln w="38100" cap="sq">
              <a:solidFill>
                <a:srgbClr val="4DAEC3"/>
              </a:solidFill>
              <a:prstDash val="solid"/>
              <a:round/>
            </a:ln>
            <a:effectLst/>
          </c:spPr>
          <c:marker>
            <c:symbol val="none"/>
          </c:marker>
          <c:cat>
            <c:numRef>
              <c:f>'25.'!$A$8:$A$29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'25.'!$B$8:$B$29</c:f>
              <c:numCache>
                <c:formatCode>0</c:formatCode>
                <c:ptCount val="22"/>
                <c:pt idx="0">
                  <c:v>18.80706398878273</c:v>
                </c:pt>
                <c:pt idx="1">
                  <c:v>14.733328164522968</c:v>
                </c:pt>
                <c:pt idx="2">
                  <c:v>13.988617071006045</c:v>
                </c:pt>
                <c:pt idx="3">
                  <c:v>13.243820037001724</c:v>
                </c:pt>
                <c:pt idx="4">
                  <c:v>13.71066000726282</c:v>
                </c:pt>
                <c:pt idx="5">
                  <c:v>14.164811165355104</c:v>
                </c:pt>
                <c:pt idx="6">
                  <c:v>13.976426410909731</c:v>
                </c:pt>
                <c:pt idx="7">
                  <c:v>12.340937455436435</c:v>
                </c:pt>
                <c:pt idx="8">
                  <c:v>13.620738073666425</c:v>
                </c:pt>
                <c:pt idx="9">
                  <c:v>15.942840935586155</c:v>
                </c:pt>
                <c:pt idx="10">
                  <c:v>14.69807022960593</c:v>
                </c:pt>
                <c:pt idx="11">
                  <c:v>14.30451426916285</c:v>
                </c:pt>
                <c:pt idx="12">
                  <c:v>8.3853975902136995</c:v>
                </c:pt>
                <c:pt idx="13">
                  <c:v>8.5285882319780413</c:v>
                </c:pt>
                <c:pt idx="14">
                  <c:v>9.1997164121033155</c:v>
                </c:pt>
                <c:pt idx="15">
                  <c:v>9.9395809085229345</c:v>
                </c:pt>
                <c:pt idx="16">
                  <c:v>7.3096500635672568</c:v>
                </c:pt>
                <c:pt idx="17">
                  <c:v>8.334282324140796</c:v>
                </c:pt>
                <c:pt idx="18">
                  <c:v>7.1043945207529493</c:v>
                </c:pt>
                <c:pt idx="19">
                  <c:v>5.0419402975754775</c:v>
                </c:pt>
                <c:pt idx="20">
                  <c:v>-2.1508280282871812</c:v>
                </c:pt>
                <c:pt idx="21">
                  <c:v>0.8294939496020115</c:v>
                </c:pt>
              </c:numCache>
            </c:numRef>
          </c:val>
          <c:smooth val="0"/>
          <c:extLst>
            <c:ext xmlns:c16="http://schemas.microsoft.com/office/drawing/2014/chart" uri="{C3380CC4-5D6E-409C-BE32-E72D297353CC}">
              <c16:uniqueId val="{00000000-DD3B-45D1-9EE0-ED892577CF90}"/>
            </c:ext>
          </c:extLst>
        </c:ser>
        <c:ser>
          <c:idx val="1"/>
          <c:order val="1"/>
          <c:tx>
            <c:strRef>
              <c:f>'25.'!$C$7</c:f>
              <c:strCache>
                <c:ptCount val="1"/>
                <c:pt idx="0">
                  <c:v>Avkastning på eget kapital, glidande medelvärde</c:v>
                </c:pt>
              </c:strCache>
            </c:strRef>
          </c:tx>
          <c:spPr>
            <a:ln w="38100" cap="rnd">
              <a:solidFill>
                <a:srgbClr val="4DAEC3"/>
              </a:solidFill>
              <a:prstDash val="dash"/>
              <a:round/>
            </a:ln>
            <a:effectLst/>
          </c:spPr>
          <c:marker>
            <c:symbol val="none"/>
          </c:marker>
          <c:cat>
            <c:numRef>
              <c:f>'25.'!$A$8:$A$29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'25.'!$C$8:$C$29</c:f>
              <c:numCache>
                <c:formatCode>0</c:formatCode>
                <c:ptCount val="22"/>
                <c:pt idx="0">
                  <c:v>13.942690131529572</c:v>
                </c:pt>
                <c:pt idx="1">
                  <c:v>14.574557361214946</c:v>
                </c:pt>
                <c:pt idx="2">
                  <c:v>15.045554308217993</c:v>
                </c:pt>
                <c:pt idx="3">
                  <c:v>15.193207315328367</c:v>
                </c:pt>
                <c:pt idx="4">
                  <c:v>13.919106319948387</c:v>
                </c:pt>
                <c:pt idx="5">
                  <c:v>13.776977070156423</c:v>
                </c:pt>
                <c:pt idx="6">
                  <c:v>13.773929405132346</c:v>
                </c:pt>
                <c:pt idx="7">
                  <c:v>13.548208759741023</c:v>
                </c:pt>
                <c:pt idx="8">
                  <c:v>13.525728276341923</c:v>
                </c:pt>
                <c:pt idx="9">
                  <c:v>13.970235718899687</c:v>
                </c:pt>
                <c:pt idx="10">
                  <c:v>14.150646673573736</c:v>
                </c:pt>
                <c:pt idx="11">
                  <c:v>14.64154087700534</c:v>
                </c:pt>
                <c:pt idx="12">
                  <c:v>13.332705756142161</c:v>
                </c:pt>
                <c:pt idx="13">
                  <c:v>11.479142580240129</c:v>
                </c:pt>
                <c:pt idx="14">
                  <c:v>10.104554125864476</c:v>
                </c:pt>
                <c:pt idx="15">
                  <c:v>9.013320785704499</c:v>
                </c:pt>
                <c:pt idx="16">
                  <c:v>8.7443839040428859</c:v>
                </c:pt>
                <c:pt idx="17">
                  <c:v>8.6958074270835759</c:v>
                </c:pt>
                <c:pt idx="18">
                  <c:v>8.1719769542459844</c:v>
                </c:pt>
                <c:pt idx="19">
                  <c:v>6.9475668015091196</c:v>
                </c:pt>
                <c:pt idx="20">
                  <c:v>4.5824472785455113</c:v>
                </c:pt>
                <c:pt idx="21">
                  <c:v>2.7062501849108145</c:v>
                </c:pt>
              </c:numCache>
            </c:numRef>
          </c:val>
          <c:smooth val="0"/>
          <c:extLst>
            <c:ext xmlns:c16="http://schemas.microsoft.com/office/drawing/2014/chart" uri="{C3380CC4-5D6E-409C-BE32-E72D297353CC}">
              <c16:uniqueId val="{00000001-DD3B-45D1-9EE0-ED892577CF90}"/>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in val="-5"/>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1612404780514732E-2"/>
          <c:y val="6.4891668729048085E-2"/>
          <c:w val="0.94310906193078325"/>
          <c:h val="0.75353124999999999"/>
        </c:manualLayout>
      </c:layout>
      <c:lineChart>
        <c:grouping val="standard"/>
        <c:varyColors val="0"/>
        <c:ser>
          <c:idx val="0"/>
          <c:order val="0"/>
          <c:tx>
            <c:strRef>
              <c:f>'26.'!$B$7</c:f>
              <c:strCache>
                <c:ptCount val="1"/>
                <c:pt idx="0">
                  <c:v>Totalt</c:v>
                </c:pt>
              </c:strCache>
            </c:strRef>
          </c:tx>
          <c:spPr>
            <a:ln w="38100" cap="sq">
              <a:solidFill>
                <a:srgbClr val="98BF0C"/>
              </a:solidFill>
              <a:prstDash val="solid"/>
              <a:round/>
            </a:ln>
            <a:effectLst/>
          </c:spPr>
          <c:marker>
            <c:symbol val="none"/>
          </c:marker>
          <c:cat>
            <c:numRef>
              <c:f>'26.'!$A$8:$A$29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'26.'!$B$8:$B$29</c:f>
              <c:numCache>
                <c:formatCode>#,##0</c:formatCode>
                <c:ptCount val="22"/>
                <c:pt idx="0">
                  <c:v>109.80454241</c:v>
                </c:pt>
                <c:pt idx="1">
                  <c:v>117.06105885300001</c:v>
                </c:pt>
                <c:pt idx="2">
                  <c:v>141.467672634</c:v>
                </c:pt>
                <c:pt idx="3">
                  <c:v>147.15372196499999</c:v>
                </c:pt>
                <c:pt idx="4">
                  <c:v>151.368448914</c:v>
                </c:pt>
                <c:pt idx="5">
                  <c:v>157.73365812099999</c:v>
                </c:pt>
                <c:pt idx="6">
                  <c:v>163.08495618200001</c:v>
                </c:pt>
                <c:pt idx="7">
                  <c:v>166.03467332899999</c:v>
                </c:pt>
                <c:pt idx="8">
                  <c:v>171.660526436</c:v>
                </c:pt>
                <c:pt idx="9">
                  <c:v>178.13104103699999</c:v>
                </c:pt>
                <c:pt idx="10">
                  <c:v>184.48720988100001</c:v>
                </c:pt>
                <c:pt idx="11">
                  <c:v>193.181905457</c:v>
                </c:pt>
                <c:pt idx="12">
                  <c:v>196.84012918600001</c:v>
                </c:pt>
                <c:pt idx="13">
                  <c:v>204.16996864199999</c:v>
                </c:pt>
                <c:pt idx="14">
                  <c:v>208.67604250799999</c:v>
                </c:pt>
                <c:pt idx="15">
                  <c:v>213.58827232100001</c:v>
                </c:pt>
                <c:pt idx="16">
                  <c:v>229.343365503</c:v>
                </c:pt>
                <c:pt idx="17">
                  <c:v>237.94014853799999</c:v>
                </c:pt>
                <c:pt idx="18" formatCode="0">
                  <c:v>239.68283020000001</c:v>
                </c:pt>
                <c:pt idx="19" formatCode="0">
                  <c:v>254.40954551799999</c:v>
                </c:pt>
                <c:pt idx="20" formatCode="0">
                  <c:v>246.24327111700001</c:v>
                </c:pt>
                <c:pt idx="21" formatCode="0">
                  <c:v>243.92402963399999</c:v>
                </c:pt>
              </c:numCache>
            </c:numRef>
          </c:val>
          <c:smooth val="0"/>
          <c:extLst>
            <c:ext xmlns:c16="http://schemas.microsoft.com/office/drawing/2014/chart" uri="{C3380CC4-5D6E-409C-BE32-E72D297353CC}">
              <c16:uniqueId val="{00000000-7851-4FB6-8994-EB2D09A93BA2}"/>
            </c:ext>
          </c:extLst>
        </c:ser>
        <c:ser>
          <c:idx val="1"/>
          <c:order val="1"/>
          <c:tx>
            <c:strRef>
              <c:f>'26.'!$C$7</c:f>
              <c:strCache>
                <c:ptCount val="1"/>
                <c:pt idx="0">
                  <c:v>Hushåll - Övrigt</c:v>
                </c:pt>
              </c:strCache>
            </c:strRef>
          </c:tx>
          <c:spPr>
            <a:ln w="38100" cap="sq">
              <a:solidFill>
                <a:srgbClr val="F0B600"/>
              </a:solidFill>
              <a:prstDash val="solid"/>
              <a:round/>
            </a:ln>
            <a:effectLst/>
          </c:spPr>
          <c:marker>
            <c:symbol val="none"/>
          </c:marker>
          <c:cat>
            <c:numRef>
              <c:f>'26.'!$A$8:$A$29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'26.'!$C$8:$C$29</c:f>
              <c:numCache>
                <c:formatCode>#,##0</c:formatCode>
                <c:ptCount val="22"/>
                <c:pt idx="0">
                  <c:v>103.46657637200001</c:v>
                </c:pt>
                <c:pt idx="1">
                  <c:v>109.067721256</c:v>
                </c:pt>
                <c:pt idx="2">
                  <c:v>132.862591673</c:v>
                </c:pt>
                <c:pt idx="3">
                  <c:v>137.76978536300001</c:v>
                </c:pt>
                <c:pt idx="4">
                  <c:v>141.28349541700001</c:v>
                </c:pt>
                <c:pt idx="5">
                  <c:v>145.971440712</c:v>
                </c:pt>
                <c:pt idx="6">
                  <c:v>151.10508016200001</c:v>
                </c:pt>
                <c:pt idx="7">
                  <c:v>152.13801931399999</c:v>
                </c:pt>
                <c:pt idx="8">
                  <c:v>155.05534788899999</c:v>
                </c:pt>
                <c:pt idx="9">
                  <c:v>159.36496526600001</c:v>
                </c:pt>
                <c:pt idx="10">
                  <c:v>164.75966129299999</c:v>
                </c:pt>
                <c:pt idx="11">
                  <c:v>170.91972670199999</c:v>
                </c:pt>
                <c:pt idx="12">
                  <c:v>171.466835049</c:v>
                </c:pt>
                <c:pt idx="13">
                  <c:v>168.84890066299999</c:v>
                </c:pt>
                <c:pt idx="14">
                  <c:v>172.78082250899999</c:v>
                </c:pt>
                <c:pt idx="15">
                  <c:v>176.99398388</c:v>
                </c:pt>
                <c:pt idx="16">
                  <c:v>185.89192328499999</c:v>
                </c:pt>
                <c:pt idx="17">
                  <c:v>192.721243292</c:v>
                </c:pt>
                <c:pt idx="18" formatCode="0">
                  <c:v>194.264827795</c:v>
                </c:pt>
                <c:pt idx="19" formatCode="0">
                  <c:v>206.69210843600001</c:v>
                </c:pt>
                <c:pt idx="20" formatCode="0">
                  <c:v>199.232417699</c:v>
                </c:pt>
                <c:pt idx="21" formatCode="0">
                  <c:v>198.60119755299999</c:v>
                </c:pt>
              </c:numCache>
            </c:numRef>
          </c:val>
          <c:smooth val="0"/>
          <c:extLst>
            <c:ext xmlns:c16="http://schemas.microsoft.com/office/drawing/2014/chart" uri="{C3380CC4-5D6E-409C-BE32-E72D297353CC}">
              <c16:uniqueId val="{00000001-7851-4FB6-8994-EB2D09A93BA2}"/>
            </c:ext>
          </c:extLst>
        </c:ser>
        <c:ser>
          <c:idx val="2"/>
          <c:order val="2"/>
          <c:tx>
            <c:strRef>
              <c:f>'26.'!$D$7</c:f>
              <c:strCache>
                <c:ptCount val="1"/>
                <c:pt idx="0">
                  <c:v>Företag</c:v>
                </c:pt>
              </c:strCache>
            </c:strRef>
          </c:tx>
          <c:spPr>
            <a:ln w="38100" cap="rnd">
              <a:solidFill>
                <a:srgbClr val="4DAEC3"/>
              </a:solidFill>
              <a:prstDash val="solid"/>
              <a:round/>
            </a:ln>
            <a:effectLst/>
          </c:spPr>
          <c:marker>
            <c:symbol val="none"/>
          </c:marker>
          <c:cat>
            <c:numRef>
              <c:f>'26.'!$A$8:$A$29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'26.'!$D$8:$D$29</c:f>
              <c:numCache>
                <c:formatCode>#,##0</c:formatCode>
                <c:ptCount val="22"/>
                <c:pt idx="0">
                  <c:v>6.2022920910000003</c:v>
                </c:pt>
                <c:pt idx="1">
                  <c:v>7.7595598810000004</c:v>
                </c:pt>
                <c:pt idx="2">
                  <c:v>8.2497693699999992</c:v>
                </c:pt>
                <c:pt idx="3">
                  <c:v>8.9837506099999995</c:v>
                </c:pt>
                <c:pt idx="4">
                  <c:v>9.5347660839999993</c:v>
                </c:pt>
                <c:pt idx="5">
                  <c:v>10.962645307000001</c:v>
                </c:pt>
                <c:pt idx="6">
                  <c:v>11.252303868</c:v>
                </c:pt>
                <c:pt idx="7">
                  <c:v>13.17292102</c:v>
                </c:pt>
                <c:pt idx="8">
                  <c:v>15.547773534999999</c:v>
                </c:pt>
                <c:pt idx="9">
                  <c:v>17.594771628</c:v>
                </c:pt>
                <c:pt idx="10">
                  <c:v>18.480368285000001</c:v>
                </c:pt>
                <c:pt idx="11">
                  <c:v>20.362063748000001</c:v>
                </c:pt>
                <c:pt idx="12">
                  <c:v>23.389670165999998</c:v>
                </c:pt>
                <c:pt idx="13">
                  <c:v>33.236025165000001</c:v>
                </c:pt>
                <c:pt idx="14">
                  <c:v>33.732518241999998</c:v>
                </c:pt>
                <c:pt idx="15">
                  <c:v>34.419733440000002</c:v>
                </c:pt>
                <c:pt idx="16">
                  <c:v>36.372898247000002</c:v>
                </c:pt>
                <c:pt idx="17">
                  <c:v>37.931790949000003</c:v>
                </c:pt>
                <c:pt idx="18" formatCode="0">
                  <c:v>37.850894717999999</c:v>
                </c:pt>
                <c:pt idx="19" formatCode="0">
                  <c:v>39.653755244999999</c:v>
                </c:pt>
                <c:pt idx="20" formatCode="0">
                  <c:v>38.254218911000002</c:v>
                </c:pt>
                <c:pt idx="21" formatCode="0">
                  <c:v>35.800769797000001</c:v>
                </c:pt>
              </c:numCache>
            </c:numRef>
          </c:val>
          <c:smooth val="0"/>
          <c:extLst>
            <c:ext xmlns:c16="http://schemas.microsoft.com/office/drawing/2014/chart" uri="{C3380CC4-5D6E-409C-BE32-E72D297353CC}">
              <c16:uniqueId val="{00000002-7851-4FB6-8994-EB2D09A93BA2}"/>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0.12556916917228003"/>
          <c:y val="0.87215745581441839"/>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8686333465412179E-2"/>
          <c:y val="6.0319925928922317E-2"/>
          <c:w val="0.94310906193078325"/>
          <c:h val="0.75353124999999999"/>
        </c:manualLayout>
      </c:layout>
      <c:lineChart>
        <c:grouping val="standard"/>
        <c:varyColors val="0"/>
        <c:ser>
          <c:idx val="2"/>
          <c:order val="0"/>
          <c:tx>
            <c:strRef>
              <c:f>'27.'!$B$7</c:f>
              <c:strCache>
                <c:ptCount val="1"/>
                <c:pt idx="0">
                  <c:v>Räntenettomarginal</c:v>
                </c:pt>
              </c:strCache>
            </c:strRef>
          </c:tx>
          <c:spPr>
            <a:ln w="38100" cap="sq">
              <a:solidFill>
                <a:srgbClr val="4DAEC3"/>
              </a:solidFill>
              <a:prstDash val="solid"/>
              <a:round/>
            </a:ln>
            <a:effectLst/>
          </c:spPr>
          <c:marker>
            <c:symbol val="none"/>
          </c:marker>
          <c:cat>
            <c:numRef>
              <c:f>'27.'!$A$8:$A$29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'27.'!$B$8:$B$29</c:f>
              <c:numCache>
                <c:formatCode>0</c:formatCode>
                <c:ptCount val="22"/>
                <c:pt idx="0">
                  <c:v>7.2331165877606418</c:v>
                </c:pt>
                <c:pt idx="1">
                  <c:v>7.4165120972357386</c:v>
                </c:pt>
                <c:pt idx="2">
                  <c:v>7.4298570094651142</c:v>
                </c:pt>
                <c:pt idx="3">
                  <c:v>7.3931733965588302</c:v>
                </c:pt>
                <c:pt idx="4">
                  <c:v>7.7017924087277816</c:v>
                </c:pt>
                <c:pt idx="5">
                  <c:v>7.5417136495057671</c:v>
                </c:pt>
                <c:pt idx="6">
                  <c:v>7.3627752202904784</c:v>
                </c:pt>
                <c:pt idx="7">
                  <c:v>7.1912955947001551</c:v>
                </c:pt>
                <c:pt idx="8">
                  <c:v>7.5478542050305668</c:v>
                </c:pt>
                <c:pt idx="9">
                  <c:v>7.3499718643235816</c:v>
                </c:pt>
                <c:pt idx="10">
                  <c:v>7.1967406751100249</c:v>
                </c:pt>
                <c:pt idx="11">
                  <c:v>7.0517831934768571</c:v>
                </c:pt>
                <c:pt idx="12">
                  <c:v>7.1860184823921314</c:v>
                </c:pt>
                <c:pt idx="13">
                  <c:v>7.3405739384343693</c:v>
                </c:pt>
                <c:pt idx="14">
                  <c:v>7.0449075218932427</c:v>
                </c:pt>
                <c:pt idx="15">
                  <c:v>6.8280393420883438</c:v>
                </c:pt>
                <c:pt idx="16">
                  <c:v>7.4334177202357532</c:v>
                </c:pt>
                <c:pt idx="17">
                  <c:v>7.2980006802941659</c:v>
                </c:pt>
                <c:pt idx="18">
                  <c:v>6.7210198523084186</c:v>
                </c:pt>
                <c:pt idx="19">
                  <c:v>6.5196227808863663</c:v>
                </c:pt>
                <c:pt idx="20">
                  <c:v>6.4146919276911101</c:v>
                </c:pt>
                <c:pt idx="21">
                  <c:v>6.3700586010622704</c:v>
                </c:pt>
              </c:numCache>
            </c:numRef>
          </c:val>
          <c:smooth val="0"/>
          <c:extLst>
            <c:ext xmlns:c16="http://schemas.microsoft.com/office/drawing/2014/chart" uri="{C3380CC4-5D6E-409C-BE32-E72D297353CC}">
              <c16:uniqueId val="{00000000-27C1-4AD4-8609-293EC0088602}"/>
            </c:ext>
          </c:extLst>
        </c:ser>
        <c:ser>
          <c:idx val="1"/>
          <c:order val="1"/>
          <c:tx>
            <c:strRef>
              <c:f>'27.'!$C$7</c:f>
              <c:strCache>
                <c:ptCount val="1"/>
                <c:pt idx="0">
                  <c:v>Andel problemlån</c:v>
                </c:pt>
              </c:strCache>
            </c:strRef>
          </c:tx>
          <c:spPr>
            <a:ln w="38100" cap="sq">
              <a:solidFill>
                <a:srgbClr val="E64848"/>
              </a:solidFill>
              <a:prstDash val="solid"/>
              <a:round/>
            </a:ln>
            <a:effectLst/>
          </c:spPr>
          <c:marker>
            <c:symbol val="none"/>
          </c:marker>
          <c:cat>
            <c:numRef>
              <c:f>'27.'!$A$8:$A$29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'27.'!$C$8:$C$29</c:f>
              <c:numCache>
                <c:formatCode>0</c:formatCode>
                <c:ptCount val="22"/>
                <c:pt idx="0">
                  <c:v>10.561825392329709</c:v>
                </c:pt>
                <c:pt idx="1">
                  <c:v>10.727807522788293</c:v>
                </c:pt>
                <c:pt idx="2">
                  <c:v>10.04244485386339</c:v>
                </c:pt>
                <c:pt idx="3">
                  <c:v>9.5739089600727976</c:v>
                </c:pt>
                <c:pt idx="4">
                  <c:v>9.937676254663355</c:v>
                </c:pt>
                <c:pt idx="5">
                  <c:v>9.993136340702728</c:v>
                </c:pt>
                <c:pt idx="6">
                  <c:v>10.132163249997197</c:v>
                </c:pt>
                <c:pt idx="7">
                  <c:v>9.0681523574025569</c:v>
                </c:pt>
                <c:pt idx="8">
                  <c:v>9.1954373033696477</c:v>
                </c:pt>
                <c:pt idx="9">
                  <c:v>10.145734980697711</c:v>
                </c:pt>
                <c:pt idx="10">
                  <c:v>10.907205257338177</c:v>
                </c:pt>
                <c:pt idx="11">
                  <c:v>10.573486374213291</c:v>
                </c:pt>
                <c:pt idx="12">
                  <c:v>11.304102284670979</c:v>
                </c:pt>
                <c:pt idx="13">
                  <c:v>12.225742378936427</c:v>
                </c:pt>
                <c:pt idx="14">
                  <c:v>10.88935368769822</c:v>
                </c:pt>
                <c:pt idx="15">
                  <c:v>11.420633672044096</c:v>
                </c:pt>
                <c:pt idx="16">
                  <c:v>10.272316093629101</c:v>
                </c:pt>
                <c:pt idx="17">
                  <c:v>11.625516895902708</c:v>
                </c:pt>
                <c:pt idx="18">
                  <c:v>12.35022861321724</c:v>
                </c:pt>
                <c:pt idx="19">
                  <c:v>11.90701259835487</c:v>
                </c:pt>
                <c:pt idx="20">
                  <c:v>13.1778265170619</c:v>
                </c:pt>
                <c:pt idx="21">
                  <c:v>12.910240794453401</c:v>
                </c:pt>
              </c:numCache>
            </c:numRef>
          </c:val>
          <c:smooth val="0"/>
          <c:extLst>
            <c:ext xmlns:c16="http://schemas.microsoft.com/office/drawing/2014/chart" uri="{C3380CC4-5D6E-409C-BE32-E72D297353CC}">
              <c16:uniqueId val="{00000001-27C1-4AD4-8609-293EC0088602}"/>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15"/>
          <c:min val="5"/>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2"/>
      </c:valAx>
      <c:spPr>
        <a:noFill/>
        <a:ln>
          <a:solidFill>
            <a:srgbClr val="A4A4A4"/>
          </a:solidFill>
        </a:ln>
        <a:effectLst/>
      </c:spPr>
    </c:plotArea>
    <c:legend>
      <c:legendPos val="b"/>
      <c:layout>
        <c:manualLayout>
          <c:xMode val="edge"/>
          <c:yMode val="edge"/>
          <c:x val="0.12425356030176131"/>
          <c:y val="0.87657275465105666"/>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4223463475642464E-2"/>
          <c:y val="6.0319883236637437E-2"/>
          <c:w val="0.94310906193078325"/>
          <c:h val="0.75353124999999999"/>
        </c:manualLayout>
      </c:layout>
      <c:lineChart>
        <c:grouping val="standard"/>
        <c:varyColors val="0"/>
        <c:ser>
          <c:idx val="2"/>
          <c:order val="0"/>
          <c:tx>
            <c:strRef>
              <c:f>'28.'!$B$7</c:f>
              <c:strCache>
                <c:ptCount val="1"/>
                <c:pt idx="0">
                  <c:v>Provisionsnetto</c:v>
                </c:pt>
              </c:strCache>
            </c:strRef>
          </c:tx>
          <c:spPr>
            <a:ln w="38100" cap="sq">
              <a:solidFill>
                <a:srgbClr val="4DAEC3"/>
              </a:solidFill>
              <a:prstDash val="solid"/>
              <a:round/>
            </a:ln>
            <a:effectLst/>
          </c:spPr>
          <c:marker>
            <c:symbol val="none"/>
          </c:marker>
          <c:cat>
            <c:numRef>
              <c:f>'28.'!$A$8:$A$29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'28.'!$B$8:$B$29</c:f>
              <c:numCache>
                <c:formatCode>0</c:formatCode>
                <c:ptCount val="22"/>
                <c:pt idx="0">
                  <c:v>100</c:v>
                </c:pt>
                <c:pt idx="1">
                  <c:v>99.845317269351014</c:v>
                </c:pt>
                <c:pt idx="2">
                  <c:v>94.741931778680467</c:v>
                </c:pt>
                <c:pt idx="3">
                  <c:v>101.2586587767027</c:v>
                </c:pt>
                <c:pt idx="4">
                  <c:v>89.837225254330889</c:v>
                </c:pt>
                <c:pt idx="5">
                  <c:v>93.047614073449395</c:v>
                </c:pt>
                <c:pt idx="6">
                  <c:v>87.098463710626731</c:v>
                </c:pt>
                <c:pt idx="7">
                  <c:v>95.62201472920556</c:v>
                </c:pt>
                <c:pt idx="8">
                  <c:v>102.93601529181988</c:v>
                </c:pt>
                <c:pt idx="9">
                  <c:v>110.33713954302802</c:v>
                </c:pt>
                <c:pt idx="10">
                  <c:v>100.8112573189517</c:v>
                </c:pt>
                <c:pt idx="11">
                  <c:v>109.49113998114926</c:v>
                </c:pt>
                <c:pt idx="12">
                  <c:v>122.8779296477327</c:v>
                </c:pt>
                <c:pt idx="13">
                  <c:v>120.60973281424998</c:v>
                </c:pt>
                <c:pt idx="14">
                  <c:v>112.00397219245504</c:v>
                </c:pt>
                <c:pt idx="15">
                  <c:v>111.00753359384474</c:v>
                </c:pt>
                <c:pt idx="16">
                  <c:v>115.12846921058997</c:v>
                </c:pt>
                <c:pt idx="17">
                  <c:v>125.69495474791674</c:v>
                </c:pt>
                <c:pt idx="18">
                  <c:v>118.41702440879673</c:v>
                </c:pt>
                <c:pt idx="19">
                  <c:v>120.29658580892367</c:v>
                </c:pt>
                <c:pt idx="20">
                  <c:v>163.17746107027901</c:v>
                </c:pt>
                <c:pt idx="21">
                  <c:v>168.07558959493599</c:v>
                </c:pt>
              </c:numCache>
            </c:numRef>
          </c:val>
          <c:smooth val="0"/>
          <c:extLst>
            <c:ext xmlns:c16="http://schemas.microsoft.com/office/drawing/2014/chart" uri="{C3380CC4-5D6E-409C-BE32-E72D297353CC}">
              <c16:uniqueId val="{00000000-AAE0-49ED-B991-34CFA3598D98}"/>
            </c:ext>
          </c:extLst>
        </c:ser>
        <c:ser>
          <c:idx val="1"/>
          <c:order val="1"/>
          <c:tx>
            <c:strRef>
              <c:f>'28.'!$C$7</c:f>
              <c:strCache>
                <c:ptCount val="1"/>
                <c:pt idx="0">
                  <c:v>Stockholmsbörsens omsättning</c:v>
                </c:pt>
              </c:strCache>
            </c:strRef>
          </c:tx>
          <c:spPr>
            <a:ln w="38100" cap="sq">
              <a:solidFill>
                <a:srgbClr val="E64848"/>
              </a:solidFill>
              <a:prstDash val="solid"/>
              <a:round/>
            </a:ln>
            <a:effectLst/>
          </c:spPr>
          <c:marker>
            <c:symbol val="none"/>
          </c:marker>
          <c:cat>
            <c:numRef>
              <c:f>'28.'!$A$8:$A$29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'28.'!$C$8:$C$29</c:f>
              <c:numCache>
                <c:formatCode>0</c:formatCode>
                <c:ptCount val="22"/>
                <c:pt idx="0">
                  <c:v>100</c:v>
                </c:pt>
                <c:pt idx="1">
                  <c:v>92.867290358675021</c:v>
                </c:pt>
                <c:pt idx="2">
                  <c:v>88.267640690144319</c:v>
                </c:pt>
                <c:pt idx="3">
                  <c:v>95.659515879974023</c:v>
                </c:pt>
                <c:pt idx="4">
                  <c:v>93.78271804622544</c:v>
                </c:pt>
                <c:pt idx="5">
                  <c:v>85.190169223023318</c:v>
                </c:pt>
                <c:pt idx="6">
                  <c:v>75.185536995090033</c:v>
                </c:pt>
                <c:pt idx="7">
                  <c:v>91.693402858973656</c:v>
                </c:pt>
                <c:pt idx="8">
                  <c:v>91.349017396342532</c:v>
                </c:pt>
                <c:pt idx="9">
                  <c:v>97.341830018601243</c:v>
                </c:pt>
                <c:pt idx="10">
                  <c:v>88.962807124283813</c:v>
                </c:pt>
                <c:pt idx="11">
                  <c:v>96.194452926475719</c:v>
                </c:pt>
                <c:pt idx="12">
                  <c:v>104.45063266327629</c:v>
                </c:pt>
                <c:pt idx="13">
                  <c:v>100.10385499577212</c:v>
                </c:pt>
                <c:pt idx="14">
                  <c:v>91.110457879583606</c:v>
                </c:pt>
                <c:pt idx="15">
                  <c:v>103.70490004172952</c:v>
                </c:pt>
                <c:pt idx="16">
                  <c:v>97.355567428586937</c:v>
                </c:pt>
                <c:pt idx="17">
                  <c:v>89.266410565616965</c:v>
                </c:pt>
                <c:pt idx="18">
                  <c:v>91.544053906236968</c:v>
                </c:pt>
                <c:pt idx="19">
                  <c:v>101.26074417976787</c:v>
                </c:pt>
                <c:pt idx="20">
                  <c:v>145.6658278294301</c:v>
                </c:pt>
                <c:pt idx="21">
                  <c:v>125.91659337512651</c:v>
                </c:pt>
              </c:numCache>
            </c:numRef>
          </c:val>
          <c:smooth val="0"/>
          <c:extLst>
            <c:ext xmlns:c16="http://schemas.microsoft.com/office/drawing/2014/chart" uri="{C3380CC4-5D6E-409C-BE32-E72D297353CC}">
              <c16:uniqueId val="{00000001-AAE0-49ED-B991-34CFA3598D98}"/>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180"/>
          <c:min val="60"/>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20"/>
      </c:valAx>
      <c:spPr>
        <a:noFill/>
        <a:ln>
          <a:solidFill>
            <a:srgbClr val="A4A4A4"/>
          </a:solidFill>
        </a:ln>
        <a:effectLst/>
      </c:spPr>
    </c:plotArea>
    <c:legend>
      <c:legendPos val="b"/>
      <c:layout>
        <c:manualLayout>
          <c:xMode val="edge"/>
          <c:yMode val="edge"/>
          <c:x val="0.1229379514312426"/>
          <c:y val="0.87436510523273758"/>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794653837963744"/>
        </c:manualLayout>
      </c:layout>
      <c:lineChart>
        <c:grouping val="standard"/>
        <c:varyColors val="0"/>
        <c:ser>
          <c:idx val="0"/>
          <c:order val="0"/>
          <c:tx>
            <c:strRef>
              <c:f>'29.'!$B$7</c:f>
              <c:strCache>
                <c:ptCount val="1"/>
                <c:pt idx="0">
                  <c:v>Avkastning på eget kapital</c:v>
                </c:pt>
              </c:strCache>
            </c:strRef>
          </c:tx>
          <c:spPr>
            <a:ln w="38100" cap="sq">
              <a:solidFill>
                <a:srgbClr val="4DAEC3"/>
              </a:solidFill>
              <a:prstDash val="solid"/>
              <a:round/>
            </a:ln>
            <a:effectLst/>
          </c:spPr>
          <c:marker>
            <c:symbol val="none"/>
          </c:marker>
          <c:cat>
            <c:numRef>
              <c:f>'29.'!$A$8:$A$29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'29.'!$B$8:$B$29</c:f>
              <c:numCache>
                <c:formatCode>0</c:formatCode>
                <c:ptCount val="22"/>
                <c:pt idx="0">
                  <c:v>20.05884035388706</c:v>
                </c:pt>
                <c:pt idx="1">
                  <c:v>17.172479797238267</c:v>
                </c:pt>
                <c:pt idx="2">
                  <c:v>15.441973078135584</c:v>
                </c:pt>
                <c:pt idx="3">
                  <c:v>18.306247262800625</c:v>
                </c:pt>
                <c:pt idx="4">
                  <c:v>11.523252660853531</c:v>
                </c:pt>
                <c:pt idx="5">
                  <c:v>22.638472767788723</c:v>
                </c:pt>
                <c:pt idx="6">
                  <c:v>17.783859311005045</c:v>
                </c:pt>
                <c:pt idx="7">
                  <c:v>20.999881632670458</c:v>
                </c:pt>
                <c:pt idx="8">
                  <c:v>16.3576487087808</c:v>
                </c:pt>
                <c:pt idx="9">
                  <c:v>15.54646252792673</c:v>
                </c:pt>
                <c:pt idx="10">
                  <c:v>12.923901047500649</c:v>
                </c:pt>
                <c:pt idx="11">
                  <c:v>15.634343057591485</c:v>
                </c:pt>
                <c:pt idx="12">
                  <c:v>15.153336466821163</c:v>
                </c:pt>
                <c:pt idx="13">
                  <c:v>14.503964449583021</c:v>
                </c:pt>
                <c:pt idx="14">
                  <c:v>12.699161302247383</c:v>
                </c:pt>
                <c:pt idx="15">
                  <c:v>13.72700358126637</c:v>
                </c:pt>
                <c:pt idx="16">
                  <c:v>24.526696609882951</c:v>
                </c:pt>
                <c:pt idx="17">
                  <c:v>20.876745330400492</c:v>
                </c:pt>
                <c:pt idx="18">
                  <c:v>17.811478872173833</c:v>
                </c:pt>
                <c:pt idx="19">
                  <c:v>21.166361456823051</c:v>
                </c:pt>
                <c:pt idx="20">
                  <c:v>28.9940630088782</c:v>
                </c:pt>
                <c:pt idx="21">
                  <c:v>27.954451167029397</c:v>
                </c:pt>
              </c:numCache>
            </c:numRef>
          </c:val>
          <c:smooth val="0"/>
          <c:extLst>
            <c:ext xmlns:c16="http://schemas.microsoft.com/office/drawing/2014/chart" uri="{C3380CC4-5D6E-409C-BE32-E72D297353CC}">
              <c16:uniqueId val="{00000000-E9B8-4B0A-9AC7-7CDE4C8A9F32}"/>
            </c:ext>
          </c:extLst>
        </c:ser>
        <c:ser>
          <c:idx val="1"/>
          <c:order val="1"/>
          <c:tx>
            <c:strRef>
              <c:f>'29.'!$C$7</c:f>
              <c:strCache>
                <c:ptCount val="1"/>
                <c:pt idx="0">
                  <c:v>Avkastning på eget kapital, glidande medelvärde</c:v>
                </c:pt>
              </c:strCache>
            </c:strRef>
          </c:tx>
          <c:spPr>
            <a:ln w="38100" cap="rnd">
              <a:solidFill>
                <a:srgbClr val="4DAEC3"/>
              </a:solidFill>
              <a:prstDash val="dash"/>
              <a:round/>
            </a:ln>
            <a:effectLst/>
          </c:spPr>
          <c:marker>
            <c:symbol val="none"/>
          </c:marker>
          <c:cat>
            <c:numRef>
              <c:f>'29.'!$A$8:$A$29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'29.'!$C$8:$C$29</c:f>
              <c:numCache>
                <c:formatCode>0</c:formatCode>
                <c:ptCount val="22"/>
                <c:pt idx="0">
                  <c:v>15.866504801681572</c:v>
                </c:pt>
                <c:pt idx="1">
                  <c:v>16.181536440254941</c:v>
                </c:pt>
                <c:pt idx="2">
                  <c:v>16.990897174791293</c:v>
                </c:pt>
                <c:pt idx="3">
                  <c:v>17.744885123015383</c:v>
                </c:pt>
                <c:pt idx="4">
                  <c:v>15.610988199757003</c:v>
                </c:pt>
                <c:pt idx="5">
                  <c:v>16.977486442394614</c:v>
                </c:pt>
                <c:pt idx="6">
                  <c:v>17.562958000611982</c:v>
                </c:pt>
                <c:pt idx="7">
                  <c:v>18.236366593079438</c:v>
                </c:pt>
                <c:pt idx="8">
                  <c:v>19.444965605061256</c:v>
                </c:pt>
                <c:pt idx="9">
                  <c:v>17.671963045095758</c:v>
                </c:pt>
                <c:pt idx="10">
                  <c:v>16.456973479219663</c:v>
                </c:pt>
                <c:pt idx="11">
                  <c:v>15.115588835449916</c:v>
                </c:pt>
                <c:pt idx="12">
                  <c:v>14.814510774960008</c:v>
                </c:pt>
                <c:pt idx="13">
                  <c:v>14.55388625537408</c:v>
                </c:pt>
                <c:pt idx="14">
                  <c:v>14.497701319060763</c:v>
                </c:pt>
                <c:pt idx="15">
                  <c:v>14.020866449979486</c:v>
                </c:pt>
                <c:pt idx="16">
                  <c:v>16.36420648574493</c:v>
                </c:pt>
                <c:pt idx="17">
                  <c:v>17.957401705949298</c:v>
                </c:pt>
                <c:pt idx="18">
                  <c:v>19.235481098430913</c:v>
                </c:pt>
                <c:pt idx="19">
                  <c:v>21.09532056732008</c:v>
                </c:pt>
                <c:pt idx="20">
                  <c:v>22.2121621670689</c:v>
                </c:pt>
                <c:pt idx="21">
                  <c:v>23.981588626226127</c:v>
                </c:pt>
              </c:numCache>
            </c:numRef>
          </c:val>
          <c:smooth val="0"/>
          <c:extLst>
            <c:ext xmlns:c16="http://schemas.microsoft.com/office/drawing/2014/chart" uri="{C3380CC4-5D6E-409C-BE32-E72D297353CC}">
              <c16:uniqueId val="{00000001-E9B8-4B0A-9AC7-7CDE4C8A9F32}"/>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in val="6"/>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0"/>
          <c:order val="0"/>
          <c:tx>
            <c:strRef>
              <c:f>'3.'!$B$7</c:f>
              <c:strCache>
                <c:ptCount val="1"/>
                <c:pt idx="0">
                  <c:v>Total</c:v>
                </c:pt>
              </c:strCache>
            </c:strRef>
          </c:tx>
          <c:spPr>
            <a:ln w="38100" cap="sq">
              <a:solidFill>
                <a:srgbClr val="98BF0C"/>
              </a:solidFill>
              <a:prstDash val="solid"/>
              <a:round/>
            </a:ln>
            <a:effectLst/>
          </c:spPr>
          <c:marker>
            <c:symbol val="none"/>
          </c:marker>
          <c:cat>
            <c:numRef>
              <c:f>'3.'!$A$8:$A$29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'3.'!$B$8:$B$29</c:f>
              <c:numCache>
                <c:formatCode>#,##0</c:formatCode>
                <c:ptCount val="22"/>
                <c:pt idx="0">
                  <c:v>5672.7498724449997</c:v>
                </c:pt>
                <c:pt idx="1">
                  <c:v>5775.0745575345509</c:v>
                </c:pt>
                <c:pt idx="2">
                  <c:v>5858.4071502534434</c:v>
                </c:pt>
                <c:pt idx="3">
                  <c:v>5850.318712379003</c:v>
                </c:pt>
                <c:pt idx="4">
                  <c:v>5948.7229049277867</c:v>
                </c:pt>
                <c:pt idx="5">
                  <c:v>6140.0147217146323</c:v>
                </c:pt>
                <c:pt idx="6">
                  <c:v>6261.7423839445582</c:v>
                </c:pt>
                <c:pt idx="7">
                  <c:v>6278.0286132632318</c:v>
                </c:pt>
                <c:pt idx="8">
                  <c:v>6385.4044774995918</c:v>
                </c:pt>
                <c:pt idx="9">
                  <c:v>6513.1879348447146</c:v>
                </c:pt>
                <c:pt idx="10">
                  <c:v>6608.7133877417173</c:v>
                </c:pt>
                <c:pt idx="11">
                  <c:v>6656.6443407694696</c:v>
                </c:pt>
                <c:pt idx="12">
                  <c:v>6773.9708625337189</c:v>
                </c:pt>
                <c:pt idx="13">
                  <c:v>6963.0355457110109</c:v>
                </c:pt>
                <c:pt idx="14">
                  <c:v>6997.8922934949696</c:v>
                </c:pt>
                <c:pt idx="15">
                  <c:v>7062.8815742668803</c:v>
                </c:pt>
                <c:pt idx="16">
                  <c:v>7265.9013992185301</c:v>
                </c:pt>
                <c:pt idx="17">
                  <c:v>7430.6159966605301</c:v>
                </c:pt>
                <c:pt idx="18">
                  <c:v>7497.6659767882693</c:v>
                </c:pt>
                <c:pt idx="19">
                  <c:v>7483.4420323533304</c:v>
                </c:pt>
                <c:pt idx="20">
                  <c:v>7695.0116259054412</c:v>
                </c:pt>
                <c:pt idx="21">
                  <c:v>7636.5204540594605</c:v>
                </c:pt>
              </c:numCache>
            </c:numRef>
          </c:val>
          <c:smooth val="0"/>
          <c:extLst>
            <c:ext xmlns:c16="http://schemas.microsoft.com/office/drawing/2014/chart" uri="{C3380CC4-5D6E-409C-BE32-E72D297353CC}">
              <c16:uniqueId val="{00000000-612A-45C3-B7EF-D38F358B4283}"/>
            </c:ext>
          </c:extLst>
        </c:ser>
        <c:ser>
          <c:idx val="1"/>
          <c:order val="1"/>
          <c:tx>
            <c:strRef>
              <c:f>'3.'!$C$7</c:f>
              <c:strCache>
                <c:ptCount val="1"/>
                <c:pt idx="0">
                  <c:v>Hushåll - Bolån</c:v>
                </c:pt>
              </c:strCache>
            </c:strRef>
          </c:tx>
          <c:spPr>
            <a:ln w="38100" cap="sq">
              <a:solidFill>
                <a:srgbClr val="E64848"/>
              </a:solidFill>
              <a:prstDash val="solid"/>
              <a:round/>
            </a:ln>
            <a:effectLst/>
          </c:spPr>
          <c:marker>
            <c:symbol val="none"/>
          </c:marker>
          <c:cat>
            <c:numRef>
              <c:f>'3.'!$A$8:$A$29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'3.'!$C$8:$C$29</c:f>
              <c:numCache>
                <c:formatCode>#,##0</c:formatCode>
                <c:ptCount val="22"/>
                <c:pt idx="0">
                  <c:v>2640.9839650059998</c:v>
                </c:pt>
                <c:pt idx="1">
                  <c:v>2720.170982143874</c:v>
                </c:pt>
                <c:pt idx="2">
                  <c:v>2787.7488038967031</c:v>
                </c:pt>
                <c:pt idx="3">
                  <c:v>2769.0036594176131</c:v>
                </c:pt>
                <c:pt idx="4">
                  <c:v>2812.3268897004559</c:v>
                </c:pt>
                <c:pt idx="5">
                  <c:v>2892.7872426351623</c:v>
                </c:pt>
                <c:pt idx="6">
                  <c:v>2927.7397215923152</c:v>
                </c:pt>
                <c:pt idx="7">
                  <c:v>2970.4312650063389</c:v>
                </c:pt>
                <c:pt idx="8">
                  <c:v>3020.3360795920198</c:v>
                </c:pt>
                <c:pt idx="9">
                  <c:v>3076.7813180078101</c:v>
                </c:pt>
                <c:pt idx="10">
                  <c:v>3123.49770710247</c:v>
                </c:pt>
                <c:pt idx="11">
                  <c:v>3201.1631000811599</c:v>
                </c:pt>
                <c:pt idx="12">
                  <c:v>3199.9237076678196</c:v>
                </c:pt>
                <c:pt idx="13">
                  <c:v>3264.76864558034</c:v>
                </c:pt>
                <c:pt idx="14">
                  <c:v>3297.6170419893597</c:v>
                </c:pt>
                <c:pt idx="15">
                  <c:v>3357.8144731379502</c:v>
                </c:pt>
                <c:pt idx="16">
                  <c:v>3453.0470423911097</c:v>
                </c:pt>
                <c:pt idx="17">
                  <c:v>3508.9386324133397</c:v>
                </c:pt>
                <c:pt idx="18" formatCode="0">
                  <c:v>3552.8328747132682</c:v>
                </c:pt>
                <c:pt idx="19" formatCode="0">
                  <c:v>3593.02038311562</c:v>
                </c:pt>
                <c:pt idx="20" formatCode="0">
                  <c:v>3645.8762949700399</c:v>
                </c:pt>
                <c:pt idx="21" formatCode="0">
                  <c:v>3668.8595136362901</c:v>
                </c:pt>
              </c:numCache>
            </c:numRef>
          </c:val>
          <c:smooth val="0"/>
          <c:extLst>
            <c:ext xmlns:c16="http://schemas.microsoft.com/office/drawing/2014/chart" uri="{C3380CC4-5D6E-409C-BE32-E72D297353CC}">
              <c16:uniqueId val="{00000001-612A-45C3-B7EF-D38F358B4283}"/>
            </c:ext>
          </c:extLst>
        </c:ser>
        <c:ser>
          <c:idx val="2"/>
          <c:order val="2"/>
          <c:tx>
            <c:strRef>
              <c:f>'3.'!$D$7</c:f>
              <c:strCache>
                <c:ptCount val="1"/>
                <c:pt idx="0">
                  <c:v>Företag</c:v>
                </c:pt>
              </c:strCache>
            </c:strRef>
          </c:tx>
          <c:spPr>
            <a:ln w="38100" cap="rnd">
              <a:solidFill>
                <a:srgbClr val="4DAEC3"/>
              </a:solidFill>
              <a:prstDash val="solid"/>
              <a:round/>
            </a:ln>
            <a:effectLst/>
          </c:spPr>
          <c:marker>
            <c:symbol val="none"/>
          </c:marker>
          <c:cat>
            <c:numRef>
              <c:f>'3.'!$A$8:$A$29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'3.'!$D$8:$D$29</c:f>
              <c:numCache>
                <c:formatCode>#,##0</c:formatCode>
                <c:ptCount val="22"/>
                <c:pt idx="0">
                  <c:v>2618.7609512889999</c:v>
                </c:pt>
                <c:pt idx="1">
                  <c:v>2627.3415506297051</c:v>
                </c:pt>
                <c:pt idx="2">
                  <c:v>2621.024283344429</c:v>
                </c:pt>
                <c:pt idx="3">
                  <c:v>2638.3224386854649</c:v>
                </c:pt>
                <c:pt idx="4">
                  <c:v>2689.0388185266402</c:v>
                </c:pt>
                <c:pt idx="5">
                  <c:v>2788.9502767590225</c:v>
                </c:pt>
                <c:pt idx="6">
                  <c:v>2862.2301955479447</c:v>
                </c:pt>
                <c:pt idx="7">
                  <c:v>2839.2190884516876</c:v>
                </c:pt>
                <c:pt idx="8">
                  <c:v>2890.2888713020338</c:v>
                </c:pt>
                <c:pt idx="9">
                  <c:v>2943.4553817634446</c:v>
                </c:pt>
                <c:pt idx="10">
                  <c:v>2980.8840901931908</c:v>
                </c:pt>
                <c:pt idx="11">
                  <c:v>2943.9041929027389</c:v>
                </c:pt>
                <c:pt idx="12">
                  <c:v>3051.5930340978198</c:v>
                </c:pt>
                <c:pt idx="13">
                  <c:v>3163.1229173507004</c:v>
                </c:pt>
                <c:pt idx="14">
                  <c:v>3156.0512086089502</c:v>
                </c:pt>
                <c:pt idx="15">
                  <c:v>3160.92784455223</c:v>
                </c:pt>
                <c:pt idx="16">
                  <c:v>3251.9471932513502</c:v>
                </c:pt>
                <c:pt idx="17">
                  <c:v>3337.3759053708004</c:v>
                </c:pt>
                <c:pt idx="18" formatCode="0">
                  <c:v>3358.2002591556811</c:v>
                </c:pt>
                <c:pt idx="19" formatCode="0">
                  <c:v>3304.09131283644</c:v>
                </c:pt>
                <c:pt idx="20" formatCode="0">
                  <c:v>3460.7315636221801</c:v>
                </c:pt>
                <c:pt idx="21" formatCode="0">
                  <c:v>3363.6010679655401</c:v>
                </c:pt>
              </c:numCache>
            </c:numRef>
          </c:val>
          <c:smooth val="0"/>
          <c:extLst>
            <c:ext xmlns:c16="http://schemas.microsoft.com/office/drawing/2014/chart" uri="{C3380CC4-5D6E-409C-BE32-E72D297353CC}">
              <c16:uniqueId val="{00000002-612A-45C3-B7EF-D38F358B4283}"/>
            </c:ext>
          </c:extLst>
        </c:ser>
        <c:ser>
          <c:idx val="3"/>
          <c:order val="3"/>
          <c:tx>
            <c:strRef>
              <c:f>'3.'!$E$7</c:f>
              <c:strCache>
                <c:ptCount val="1"/>
                <c:pt idx="0">
                  <c:v>Hushåll  - Övrigt</c:v>
                </c:pt>
              </c:strCache>
            </c:strRef>
          </c:tx>
          <c:spPr>
            <a:ln w="38100" cap="sq">
              <a:solidFill>
                <a:srgbClr val="F0B600"/>
              </a:solidFill>
              <a:prstDash val="solid"/>
              <a:round/>
            </a:ln>
            <a:effectLst/>
          </c:spPr>
          <c:marker>
            <c:symbol val="none"/>
          </c:marker>
          <c:cat>
            <c:numRef>
              <c:f>'3.'!$A$8:$A$29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'3.'!$E$8:$E$29</c:f>
              <c:numCache>
                <c:formatCode>#,##0</c:formatCode>
                <c:ptCount val="22"/>
                <c:pt idx="0">
                  <c:v>413.00495615</c:v>
                </c:pt>
                <c:pt idx="1">
                  <c:v>427.56202476097195</c:v>
                </c:pt>
                <c:pt idx="2">
                  <c:v>449.63406301231095</c:v>
                </c:pt>
                <c:pt idx="3">
                  <c:v>442.99261427592506</c:v>
                </c:pt>
                <c:pt idx="4">
                  <c:v>447.35719670069</c:v>
                </c:pt>
                <c:pt idx="5">
                  <c:v>458.27720232044794</c:v>
                </c:pt>
                <c:pt idx="6">
                  <c:v>471.77246680429806</c:v>
                </c:pt>
                <c:pt idx="7">
                  <c:v>468.37825980520591</c:v>
                </c:pt>
                <c:pt idx="8">
                  <c:v>474.77952660553797</c:v>
                </c:pt>
                <c:pt idx="9">
                  <c:v>492.95123507345994</c:v>
                </c:pt>
                <c:pt idx="10">
                  <c:v>504.33159044605702</c:v>
                </c:pt>
                <c:pt idx="11">
                  <c:v>511.57704778557098</c:v>
                </c:pt>
                <c:pt idx="12">
                  <c:v>522.45412076807997</c:v>
                </c:pt>
                <c:pt idx="13">
                  <c:v>535.14398277997009</c:v>
                </c:pt>
                <c:pt idx="14">
                  <c:v>544.22404289666008</c:v>
                </c:pt>
                <c:pt idx="15">
                  <c:v>544.13925657670006</c:v>
                </c:pt>
                <c:pt idx="16">
                  <c:v>560.90716357607005</c:v>
                </c:pt>
                <c:pt idx="17">
                  <c:v>584.30145887639003</c:v>
                </c:pt>
                <c:pt idx="18" formatCode="0">
                  <c:v>586.63284291931984</c:v>
                </c:pt>
                <c:pt idx="19" formatCode="0">
                  <c:v>586.33033640127007</c:v>
                </c:pt>
                <c:pt idx="20" formatCode="0">
                  <c:v>588.40376731322021</c:v>
                </c:pt>
                <c:pt idx="21" formatCode="0">
                  <c:v>604.05987245763004</c:v>
                </c:pt>
              </c:numCache>
            </c:numRef>
          </c:val>
          <c:smooth val="0"/>
          <c:extLst>
            <c:ext xmlns:c16="http://schemas.microsoft.com/office/drawing/2014/chart" uri="{C3380CC4-5D6E-409C-BE32-E72D297353CC}">
              <c16:uniqueId val="{00000003-612A-45C3-B7EF-D38F358B4283}"/>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0.1229379514312426"/>
          <c:y val="0.87657275465105666"/>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4"/>
          <c:order val="0"/>
          <c:tx>
            <c:strRef>
              <c:f>'30.'!$B$7</c:f>
              <c:strCache>
                <c:ptCount val="1"/>
                <c:pt idx="0">
                  <c:v>Totalt</c:v>
                </c:pt>
              </c:strCache>
            </c:strRef>
          </c:tx>
          <c:spPr>
            <a:ln w="38100" cap="sq">
              <a:solidFill>
                <a:srgbClr val="98BF0C"/>
              </a:solidFill>
              <a:prstDash val="solid"/>
              <a:round/>
            </a:ln>
            <a:effectLst/>
          </c:spPr>
          <c:marker>
            <c:symbol val="none"/>
          </c:marker>
          <c:cat>
            <c:numRef>
              <c:f>'30.'!$A$8:$A$29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'30.'!$B$8:$B$29</c:f>
              <c:numCache>
                <c:formatCode>#,##0</c:formatCode>
                <c:ptCount val="22"/>
                <c:pt idx="0">
                  <c:v>27.287570975999998</c:v>
                </c:pt>
                <c:pt idx="1">
                  <c:v>29.822145829999997</c:v>
                </c:pt>
                <c:pt idx="2">
                  <c:v>30.938578804999999</c:v>
                </c:pt>
                <c:pt idx="3">
                  <c:v>31.088592556999998</c:v>
                </c:pt>
                <c:pt idx="4">
                  <c:v>32.894102484000001</c:v>
                </c:pt>
                <c:pt idx="5">
                  <c:v>32.313677959000003</c:v>
                </c:pt>
                <c:pt idx="6">
                  <c:v>35.168401201999998</c:v>
                </c:pt>
                <c:pt idx="7">
                  <c:v>36.104397417000001</c:v>
                </c:pt>
                <c:pt idx="8">
                  <c:v>38.753441613</c:v>
                </c:pt>
                <c:pt idx="9">
                  <c:v>40.215958778000001</c:v>
                </c:pt>
                <c:pt idx="10">
                  <c:v>37.160685338</c:v>
                </c:pt>
                <c:pt idx="11">
                  <c:v>37.064579146</c:v>
                </c:pt>
                <c:pt idx="12">
                  <c:v>43.153911897</c:v>
                </c:pt>
                <c:pt idx="13">
                  <c:v>44.196482622000005</c:v>
                </c:pt>
                <c:pt idx="14">
                  <c:v>40.813036253999996</c:v>
                </c:pt>
                <c:pt idx="15">
                  <c:v>38.870009405999994</c:v>
                </c:pt>
                <c:pt idx="16">
                  <c:v>41.435099836000006</c:v>
                </c:pt>
                <c:pt idx="17">
                  <c:v>43.295013263000001</c:v>
                </c:pt>
                <c:pt idx="18">
                  <c:v>45.741107779999993</c:v>
                </c:pt>
                <c:pt idx="19">
                  <c:v>47.307478625000002</c:v>
                </c:pt>
                <c:pt idx="20">
                  <c:v>48.658675442000003</c:v>
                </c:pt>
                <c:pt idx="21">
                  <c:v>52.603942455999999</c:v>
                </c:pt>
              </c:numCache>
            </c:numRef>
          </c:val>
          <c:smooth val="0"/>
          <c:extLst>
            <c:ext xmlns:c16="http://schemas.microsoft.com/office/drawing/2014/chart" uri="{C3380CC4-5D6E-409C-BE32-E72D297353CC}">
              <c16:uniqueId val="{00000000-DF66-448C-A009-23DA36E4254E}"/>
            </c:ext>
          </c:extLst>
        </c:ser>
        <c:ser>
          <c:idx val="5"/>
          <c:order val="1"/>
          <c:tx>
            <c:strRef>
              <c:f>'30.'!$C$7</c:f>
              <c:strCache>
                <c:ptCount val="1"/>
                <c:pt idx="0">
                  <c:v>Hushåll - Övrigt</c:v>
                </c:pt>
              </c:strCache>
            </c:strRef>
          </c:tx>
          <c:spPr>
            <a:ln w="38100" cap="sq">
              <a:solidFill>
                <a:srgbClr val="F0B600"/>
              </a:solidFill>
              <a:prstDash val="solid"/>
              <a:round/>
            </a:ln>
            <a:effectLst/>
          </c:spPr>
          <c:marker>
            <c:symbol val="none"/>
          </c:marker>
          <c:cat>
            <c:numRef>
              <c:f>'30.'!$A$8:$A$29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'30.'!$C$8:$C$29</c:f>
              <c:numCache>
                <c:formatCode>#,##0</c:formatCode>
                <c:ptCount val="22"/>
                <c:pt idx="0">
                  <c:v>20.673335818999998</c:v>
                </c:pt>
                <c:pt idx="1">
                  <c:v>22.049141868</c:v>
                </c:pt>
                <c:pt idx="2">
                  <c:v>21.815243653</c:v>
                </c:pt>
                <c:pt idx="3">
                  <c:v>21.599302844</c:v>
                </c:pt>
                <c:pt idx="4">
                  <c:v>22.545842081</c:v>
                </c:pt>
                <c:pt idx="5">
                  <c:v>21.511589406999999</c:v>
                </c:pt>
                <c:pt idx="6">
                  <c:v>23.318678404</c:v>
                </c:pt>
                <c:pt idx="7">
                  <c:v>22.980398895</c:v>
                </c:pt>
                <c:pt idx="8">
                  <c:v>24.556371484</c:v>
                </c:pt>
                <c:pt idx="9">
                  <c:v>25.196457605999999</c:v>
                </c:pt>
                <c:pt idx="10">
                  <c:v>26.721729252999999</c:v>
                </c:pt>
                <c:pt idx="11">
                  <c:v>25.902338299</c:v>
                </c:pt>
                <c:pt idx="12">
                  <c:v>27.681152106999999</c:v>
                </c:pt>
                <c:pt idx="13">
                  <c:v>29.050702355999999</c:v>
                </c:pt>
                <c:pt idx="14">
                  <c:v>27.757315965</c:v>
                </c:pt>
                <c:pt idx="15">
                  <c:v>25.282410306999999</c:v>
                </c:pt>
                <c:pt idx="16">
                  <c:v>27.442773070000001</c:v>
                </c:pt>
                <c:pt idx="17">
                  <c:v>28.755915265999999</c:v>
                </c:pt>
                <c:pt idx="18" formatCode="0">
                  <c:v>29.949277054</c:v>
                </c:pt>
                <c:pt idx="19" formatCode="0">
                  <c:v>30.476452024</c:v>
                </c:pt>
                <c:pt idx="20" formatCode="0">
                  <c:v>31.006983128000002</c:v>
                </c:pt>
                <c:pt idx="21" formatCode="0">
                  <c:v>34.549028659999998</c:v>
                </c:pt>
              </c:numCache>
            </c:numRef>
          </c:val>
          <c:smooth val="0"/>
          <c:extLst>
            <c:ext xmlns:c16="http://schemas.microsoft.com/office/drawing/2014/chart" uri="{C3380CC4-5D6E-409C-BE32-E72D297353CC}">
              <c16:uniqueId val="{00000001-DF66-448C-A009-23DA36E4254E}"/>
            </c:ext>
          </c:extLst>
        </c:ser>
        <c:ser>
          <c:idx val="6"/>
          <c:order val="2"/>
          <c:tx>
            <c:strRef>
              <c:f>'30.'!$D$7</c:f>
              <c:strCache>
                <c:ptCount val="1"/>
                <c:pt idx="0">
                  <c:v>Hushåll - Bolån</c:v>
                </c:pt>
              </c:strCache>
            </c:strRef>
          </c:tx>
          <c:spPr>
            <a:ln w="38100" cap="rnd">
              <a:solidFill>
                <a:srgbClr val="E64848"/>
              </a:solidFill>
              <a:prstDash val="solid"/>
              <a:round/>
            </a:ln>
            <a:effectLst/>
          </c:spPr>
          <c:marker>
            <c:symbol val="none"/>
          </c:marker>
          <c:cat>
            <c:numRef>
              <c:f>'30.'!$A$8:$A$29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'30.'!$D$8:$D$29</c:f>
              <c:numCache>
                <c:formatCode>#,##0</c:formatCode>
                <c:ptCount val="22"/>
                <c:pt idx="0">
                  <c:v>2.4927151890000001</c:v>
                </c:pt>
                <c:pt idx="1">
                  <c:v>2.6215763590000001</c:v>
                </c:pt>
                <c:pt idx="2">
                  <c:v>2.7798530179999998</c:v>
                </c:pt>
                <c:pt idx="3">
                  <c:v>3.0739032220000002</c:v>
                </c:pt>
                <c:pt idx="4">
                  <c:v>3.3187529470000001</c:v>
                </c:pt>
                <c:pt idx="5">
                  <c:v>3.8180194950000002</c:v>
                </c:pt>
                <c:pt idx="6">
                  <c:v>4.4829933449999997</c:v>
                </c:pt>
                <c:pt idx="7">
                  <c:v>5.2763641740000002</c:v>
                </c:pt>
                <c:pt idx="8">
                  <c:v>5.8549841630000001</c:v>
                </c:pt>
                <c:pt idx="9">
                  <c:v>6.2635079329999996</c:v>
                </c:pt>
                <c:pt idx="10">
                  <c:v>6.63462263</c:v>
                </c:pt>
                <c:pt idx="11">
                  <c:v>7.4601052159999997</c:v>
                </c:pt>
                <c:pt idx="12">
                  <c:v>8.5720385130000007</c:v>
                </c:pt>
                <c:pt idx="13">
                  <c:v>9.0000776709999997</c:v>
                </c:pt>
                <c:pt idx="14">
                  <c:v>9.0550357990000006</c:v>
                </c:pt>
                <c:pt idx="15">
                  <c:v>9.6894778329999998</c:v>
                </c:pt>
                <c:pt idx="16">
                  <c:v>10.216787918</c:v>
                </c:pt>
                <c:pt idx="17">
                  <c:v>10.746527392000001</c:v>
                </c:pt>
                <c:pt idx="18" formatCode="0">
                  <c:v>11.631740976</c:v>
                </c:pt>
                <c:pt idx="19" formatCode="0">
                  <c:v>12.415466172</c:v>
                </c:pt>
                <c:pt idx="20" formatCode="0">
                  <c:v>13.452639782</c:v>
                </c:pt>
                <c:pt idx="21" formatCode="0">
                  <c:v>13.994527895999999</c:v>
                </c:pt>
              </c:numCache>
            </c:numRef>
          </c:val>
          <c:smooth val="0"/>
          <c:extLst>
            <c:ext xmlns:c16="http://schemas.microsoft.com/office/drawing/2014/chart" uri="{C3380CC4-5D6E-409C-BE32-E72D297353CC}">
              <c16:uniqueId val="{00000002-DF66-448C-A009-23DA36E4254E}"/>
            </c:ext>
          </c:extLst>
        </c:ser>
        <c:ser>
          <c:idx val="7"/>
          <c:order val="3"/>
          <c:tx>
            <c:strRef>
              <c:f>'30.'!$E$7</c:f>
              <c:strCache>
                <c:ptCount val="1"/>
                <c:pt idx="0">
                  <c:v>Företag</c:v>
                </c:pt>
              </c:strCache>
            </c:strRef>
          </c:tx>
          <c:spPr>
            <a:ln w="28575" cap="rnd">
              <a:solidFill>
                <a:srgbClr val="4DAEC3"/>
              </a:solidFill>
              <a:round/>
            </a:ln>
            <a:effectLst/>
          </c:spPr>
          <c:marker>
            <c:symbol val="none"/>
          </c:marker>
          <c:dPt>
            <c:idx val="21"/>
            <c:marker>
              <c:symbol val="none"/>
            </c:marker>
            <c:bubble3D val="0"/>
            <c:spPr>
              <a:ln w="38100" cap="rnd">
                <a:solidFill>
                  <a:srgbClr val="4DAEC3"/>
                </a:solidFill>
                <a:round/>
              </a:ln>
              <a:effectLst/>
            </c:spPr>
            <c:extLst>
              <c:ext xmlns:c16="http://schemas.microsoft.com/office/drawing/2014/chart" uri="{C3380CC4-5D6E-409C-BE32-E72D297353CC}">
                <c16:uniqueId val="{00000000-9B3C-49E3-A065-2AA0B4DE5A2C}"/>
              </c:ext>
            </c:extLst>
          </c:dPt>
          <c:cat>
            <c:numRef>
              <c:f>'30.'!$A$8:$A$29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'30.'!$E$8:$E$29</c:f>
              <c:numCache>
                <c:formatCode>#,##0</c:formatCode>
                <c:ptCount val="22"/>
                <c:pt idx="0">
                  <c:v>4.1215199680000003</c:v>
                </c:pt>
                <c:pt idx="1">
                  <c:v>5.1514276030000001</c:v>
                </c:pt>
                <c:pt idx="2">
                  <c:v>6.3434821340000003</c:v>
                </c:pt>
                <c:pt idx="3">
                  <c:v>6.4153864909999996</c:v>
                </c:pt>
                <c:pt idx="4">
                  <c:v>7.0295074560000002</c:v>
                </c:pt>
                <c:pt idx="5">
                  <c:v>6.9840690570000001</c:v>
                </c:pt>
                <c:pt idx="6">
                  <c:v>7.3667294529999996</c:v>
                </c:pt>
                <c:pt idx="7">
                  <c:v>7.8476343479999997</c:v>
                </c:pt>
                <c:pt idx="8">
                  <c:v>8.3420859660000009</c:v>
                </c:pt>
                <c:pt idx="9">
                  <c:v>8.7559932390000004</c:v>
                </c:pt>
                <c:pt idx="10">
                  <c:v>3.8043334550000001</c:v>
                </c:pt>
                <c:pt idx="11">
                  <c:v>3.702135631</c:v>
                </c:pt>
                <c:pt idx="12">
                  <c:v>6.9007212769999997</c:v>
                </c:pt>
                <c:pt idx="13">
                  <c:v>6.1457025950000004</c:v>
                </c:pt>
                <c:pt idx="14">
                  <c:v>4.0006844900000003</c:v>
                </c:pt>
                <c:pt idx="15">
                  <c:v>3.898121266</c:v>
                </c:pt>
                <c:pt idx="16">
                  <c:v>3.7755388480000001</c:v>
                </c:pt>
                <c:pt idx="17">
                  <c:v>3.7925706049999999</c:v>
                </c:pt>
                <c:pt idx="18" formatCode="0">
                  <c:v>4.16008975</c:v>
                </c:pt>
                <c:pt idx="19" formatCode="0">
                  <c:v>4.4155604290000001</c:v>
                </c:pt>
                <c:pt idx="20" formatCode="0">
                  <c:v>4.1990525319999996</c:v>
                </c:pt>
                <c:pt idx="21" formatCode="0">
                  <c:v>4.0603859</c:v>
                </c:pt>
              </c:numCache>
            </c:numRef>
          </c:val>
          <c:smooth val="0"/>
          <c:extLst>
            <c:ext xmlns:c16="http://schemas.microsoft.com/office/drawing/2014/chart" uri="{C3380CC4-5D6E-409C-BE32-E72D297353CC}">
              <c16:uniqueId val="{00000003-DF66-448C-A009-23DA36E4254E}"/>
            </c:ext>
          </c:extLst>
        </c:ser>
        <c:ser>
          <c:idx val="0"/>
          <c:order val="4"/>
          <c:tx>
            <c:strRef>
              <c:f>'30.'!$B$7</c:f>
              <c:strCache>
                <c:ptCount val="1"/>
                <c:pt idx="0">
                  <c:v>Totalt</c:v>
                </c:pt>
              </c:strCache>
            </c:strRef>
          </c:tx>
          <c:spPr>
            <a:ln w="38100" cap="sq">
              <a:solidFill>
                <a:srgbClr val="98BF0C"/>
              </a:solidFill>
              <a:prstDash val="solid"/>
              <a:round/>
            </a:ln>
            <a:effectLst/>
          </c:spPr>
          <c:marker>
            <c:symbol val="none"/>
          </c:marker>
          <c:cat>
            <c:numRef>
              <c:f>'30.'!$A$8:$A$29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'30.'!$B$8:$B$29</c:f>
              <c:numCache>
                <c:formatCode>#,##0</c:formatCode>
                <c:ptCount val="22"/>
                <c:pt idx="0">
                  <c:v>27.287570975999998</c:v>
                </c:pt>
                <c:pt idx="1">
                  <c:v>29.822145829999997</c:v>
                </c:pt>
                <c:pt idx="2">
                  <c:v>30.938578804999999</c:v>
                </c:pt>
                <c:pt idx="3">
                  <c:v>31.088592556999998</c:v>
                </c:pt>
                <c:pt idx="4">
                  <c:v>32.894102484000001</c:v>
                </c:pt>
                <c:pt idx="5">
                  <c:v>32.313677959000003</c:v>
                </c:pt>
                <c:pt idx="6">
                  <c:v>35.168401201999998</c:v>
                </c:pt>
                <c:pt idx="7">
                  <c:v>36.104397417000001</c:v>
                </c:pt>
                <c:pt idx="8">
                  <c:v>38.753441613</c:v>
                </c:pt>
                <c:pt idx="9">
                  <c:v>40.215958778000001</c:v>
                </c:pt>
                <c:pt idx="10">
                  <c:v>37.160685338</c:v>
                </c:pt>
                <c:pt idx="11">
                  <c:v>37.064579146</c:v>
                </c:pt>
                <c:pt idx="12">
                  <c:v>43.153911897</c:v>
                </c:pt>
                <c:pt idx="13">
                  <c:v>44.196482622000005</c:v>
                </c:pt>
                <c:pt idx="14">
                  <c:v>40.813036253999996</c:v>
                </c:pt>
                <c:pt idx="15">
                  <c:v>38.870009405999994</c:v>
                </c:pt>
                <c:pt idx="16">
                  <c:v>41.435099836000006</c:v>
                </c:pt>
                <c:pt idx="17">
                  <c:v>43.295013263000001</c:v>
                </c:pt>
                <c:pt idx="18">
                  <c:v>45.741107779999993</c:v>
                </c:pt>
                <c:pt idx="19">
                  <c:v>47.307478625000002</c:v>
                </c:pt>
                <c:pt idx="20">
                  <c:v>48.658675442000003</c:v>
                </c:pt>
                <c:pt idx="21">
                  <c:v>52.603942455999999</c:v>
                </c:pt>
              </c:numCache>
            </c:numRef>
          </c:val>
          <c:smooth val="0"/>
          <c:extLst>
            <c:ext xmlns:c16="http://schemas.microsoft.com/office/drawing/2014/chart" uri="{C3380CC4-5D6E-409C-BE32-E72D297353CC}">
              <c16:uniqueId val="{00000004-DF66-448C-A009-23DA36E4254E}"/>
            </c:ext>
          </c:extLst>
        </c:ser>
        <c:ser>
          <c:idx val="1"/>
          <c:order val="5"/>
          <c:tx>
            <c:strRef>
              <c:f>'30.'!$C$7</c:f>
              <c:strCache>
                <c:ptCount val="1"/>
                <c:pt idx="0">
                  <c:v>Hushåll - Övrigt</c:v>
                </c:pt>
              </c:strCache>
            </c:strRef>
          </c:tx>
          <c:spPr>
            <a:ln w="38100" cap="sq">
              <a:solidFill>
                <a:srgbClr val="F0B600"/>
              </a:solidFill>
              <a:prstDash val="solid"/>
              <a:round/>
            </a:ln>
            <a:effectLst/>
          </c:spPr>
          <c:marker>
            <c:symbol val="none"/>
          </c:marker>
          <c:cat>
            <c:numRef>
              <c:f>'30.'!$A$8:$A$29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'30.'!$C$8:$C$28</c:f>
              <c:numCache>
                <c:formatCode>#,##0</c:formatCode>
                <c:ptCount val="21"/>
                <c:pt idx="0">
                  <c:v>20.673335818999998</c:v>
                </c:pt>
                <c:pt idx="1">
                  <c:v>22.049141868</c:v>
                </c:pt>
                <c:pt idx="2">
                  <c:v>21.815243653</c:v>
                </c:pt>
                <c:pt idx="3">
                  <c:v>21.599302844</c:v>
                </c:pt>
                <c:pt idx="4">
                  <c:v>22.545842081</c:v>
                </c:pt>
                <c:pt idx="5">
                  <c:v>21.511589406999999</c:v>
                </c:pt>
                <c:pt idx="6">
                  <c:v>23.318678404</c:v>
                </c:pt>
                <c:pt idx="7">
                  <c:v>22.980398895</c:v>
                </c:pt>
                <c:pt idx="8">
                  <c:v>24.556371484</c:v>
                </c:pt>
                <c:pt idx="9">
                  <c:v>25.196457605999999</c:v>
                </c:pt>
                <c:pt idx="10">
                  <c:v>26.721729252999999</c:v>
                </c:pt>
                <c:pt idx="11">
                  <c:v>25.902338299</c:v>
                </c:pt>
                <c:pt idx="12">
                  <c:v>27.681152106999999</c:v>
                </c:pt>
                <c:pt idx="13">
                  <c:v>29.050702355999999</c:v>
                </c:pt>
                <c:pt idx="14">
                  <c:v>27.757315965</c:v>
                </c:pt>
                <c:pt idx="15">
                  <c:v>25.282410306999999</c:v>
                </c:pt>
                <c:pt idx="16">
                  <c:v>27.442773070000001</c:v>
                </c:pt>
                <c:pt idx="17">
                  <c:v>28.755915265999999</c:v>
                </c:pt>
                <c:pt idx="18" formatCode="0">
                  <c:v>29.949277054</c:v>
                </c:pt>
                <c:pt idx="19" formatCode="0">
                  <c:v>30.476452024</c:v>
                </c:pt>
                <c:pt idx="20" formatCode="0">
                  <c:v>31.006983128000002</c:v>
                </c:pt>
              </c:numCache>
            </c:numRef>
          </c:val>
          <c:smooth val="0"/>
          <c:extLst>
            <c:ext xmlns:c16="http://schemas.microsoft.com/office/drawing/2014/chart" uri="{C3380CC4-5D6E-409C-BE32-E72D297353CC}">
              <c16:uniqueId val="{00000005-DF66-448C-A009-23DA36E4254E}"/>
            </c:ext>
          </c:extLst>
        </c:ser>
        <c:ser>
          <c:idx val="2"/>
          <c:order val="6"/>
          <c:tx>
            <c:strRef>
              <c:f>'30.'!$D$7</c:f>
              <c:strCache>
                <c:ptCount val="1"/>
                <c:pt idx="0">
                  <c:v>Hushåll - Bolån</c:v>
                </c:pt>
              </c:strCache>
            </c:strRef>
          </c:tx>
          <c:spPr>
            <a:ln w="38100" cap="rnd">
              <a:solidFill>
                <a:srgbClr val="E64848"/>
              </a:solidFill>
              <a:prstDash val="solid"/>
              <a:round/>
            </a:ln>
            <a:effectLst/>
          </c:spPr>
          <c:marker>
            <c:symbol val="none"/>
          </c:marker>
          <c:cat>
            <c:numRef>
              <c:f>'30.'!$A$8:$A$29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'30.'!$D$8:$D$28</c:f>
              <c:numCache>
                <c:formatCode>#,##0</c:formatCode>
                <c:ptCount val="21"/>
                <c:pt idx="0">
                  <c:v>2.4927151890000001</c:v>
                </c:pt>
                <c:pt idx="1">
                  <c:v>2.6215763590000001</c:v>
                </c:pt>
                <c:pt idx="2">
                  <c:v>2.7798530179999998</c:v>
                </c:pt>
                <c:pt idx="3">
                  <c:v>3.0739032220000002</c:v>
                </c:pt>
                <c:pt idx="4">
                  <c:v>3.3187529470000001</c:v>
                </c:pt>
                <c:pt idx="5">
                  <c:v>3.8180194950000002</c:v>
                </c:pt>
                <c:pt idx="6">
                  <c:v>4.4829933449999997</c:v>
                </c:pt>
                <c:pt idx="7">
                  <c:v>5.2763641740000002</c:v>
                </c:pt>
                <c:pt idx="8">
                  <c:v>5.8549841630000001</c:v>
                </c:pt>
                <c:pt idx="9">
                  <c:v>6.2635079329999996</c:v>
                </c:pt>
                <c:pt idx="10">
                  <c:v>6.63462263</c:v>
                </c:pt>
                <c:pt idx="11">
                  <c:v>7.4601052159999997</c:v>
                </c:pt>
                <c:pt idx="12">
                  <c:v>8.5720385130000007</c:v>
                </c:pt>
                <c:pt idx="13">
                  <c:v>9.0000776709999997</c:v>
                </c:pt>
                <c:pt idx="14">
                  <c:v>9.0550357990000006</c:v>
                </c:pt>
                <c:pt idx="15">
                  <c:v>9.6894778329999998</c:v>
                </c:pt>
                <c:pt idx="16">
                  <c:v>10.216787918</c:v>
                </c:pt>
                <c:pt idx="17">
                  <c:v>10.746527392000001</c:v>
                </c:pt>
                <c:pt idx="18" formatCode="0">
                  <c:v>11.631740976</c:v>
                </c:pt>
                <c:pt idx="19" formatCode="0">
                  <c:v>12.415466172</c:v>
                </c:pt>
                <c:pt idx="20" formatCode="0">
                  <c:v>13.452639782</c:v>
                </c:pt>
              </c:numCache>
            </c:numRef>
          </c:val>
          <c:smooth val="0"/>
          <c:extLst>
            <c:ext xmlns:c16="http://schemas.microsoft.com/office/drawing/2014/chart" uri="{C3380CC4-5D6E-409C-BE32-E72D297353CC}">
              <c16:uniqueId val="{00000006-DF66-448C-A009-23DA36E4254E}"/>
            </c:ext>
          </c:extLst>
        </c:ser>
        <c:ser>
          <c:idx val="3"/>
          <c:order val="7"/>
          <c:tx>
            <c:strRef>
              <c:f>'30.'!$E$7</c:f>
              <c:strCache>
                <c:ptCount val="1"/>
                <c:pt idx="0">
                  <c:v>Företag</c:v>
                </c:pt>
              </c:strCache>
            </c:strRef>
          </c:tx>
          <c:spPr>
            <a:ln w="38100" cap="rnd">
              <a:solidFill>
                <a:srgbClr val="4DAEC3"/>
              </a:solidFill>
              <a:round/>
            </a:ln>
            <a:effectLst/>
          </c:spPr>
          <c:marker>
            <c:symbol val="none"/>
          </c:marker>
          <c:cat>
            <c:numRef>
              <c:f>'30.'!$A$8:$A$29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'30.'!$E$8:$E$28</c:f>
              <c:numCache>
                <c:formatCode>#,##0</c:formatCode>
                <c:ptCount val="21"/>
                <c:pt idx="0">
                  <c:v>4.1215199680000003</c:v>
                </c:pt>
                <c:pt idx="1">
                  <c:v>5.1514276030000001</c:v>
                </c:pt>
                <c:pt idx="2">
                  <c:v>6.3434821340000003</c:v>
                </c:pt>
                <c:pt idx="3">
                  <c:v>6.4153864909999996</c:v>
                </c:pt>
                <c:pt idx="4">
                  <c:v>7.0295074560000002</c:v>
                </c:pt>
                <c:pt idx="5">
                  <c:v>6.9840690570000001</c:v>
                </c:pt>
                <c:pt idx="6">
                  <c:v>7.3667294529999996</c:v>
                </c:pt>
                <c:pt idx="7">
                  <c:v>7.8476343479999997</c:v>
                </c:pt>
                <c:pt idx="8">
                  <c:v>8.3420859660000009</c:v>
                </c:pt>
                <c:pt idx="9">
                  <c:v>8.7559932390000004</c:v>
                </c:pt>
                <c:pt idx="10">
                  <c:v>3.8043334550000001</c:v>
                </c:pt>
                <c:pt idx="11">
                  <c:v>3.702135631</c:v>
                </c:pt>
                <c:pt idx="12">
                  <c:v>6.9007212769999997</c:v>
                </c:pt>
                <c:pt idx="13">
                  <c:v>6.1457025950000004</c:v>
                </c:pt>
                <c:pt idx="14">
                  <c:v>4.0006844900000003</c:v>
                </c:pt>
                <c:pt idx="15">
                  <c:v>3.898121266</c:v>
                </c:pt>
                <c:pt idx="16">
                  <c:v>3.7755388480000001</c:v>
                </c:pt>
                <c:pt idx="17">
                  <c:v>3.7925706049999999</c:v>
                </c:pt>
                <c:pt idx="18" formatCode="0">
                  <c:v>4.16008975</c:v>
                </c:pt>
                <c:pt idx="19" formatCode="0">
                  <c:v>4.4155604290000001</c:v>
                </c:pt>
                <c:pt idx="20" formatCode="0">
                  <c:v>4.1990525319999996</c:v>
                </c:pt>
              </c:numCache>
            </c:numRef>
          </c:val>
          <c:smooth val="0"/>
          <c:extLst>
            <c:ext xmlns:c16="http://schemas.microsoft.com/office/drawing/2014/chart" uri="{C3380CC4-5D6E-409C-BE32-E72D297353CC}">
              <c16:uniqueId val="{00000007-DF66-448C-A009-23DA36E4254E}"/>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0.12425359333201441"/>
          <c:y val="0.88563849702441932"/>
          <c:w val="0.75149277580522778"/>
          <c:h val="6.9738243366473621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3954299939"/>
        </c:manualLayout>
      </c:layout>
      <c:lineChart>
        <c:grouping val="standard"/>
        <c:varyColors val="0"/>
        <c:ser>
          <c:idx val="0"/>
          <c:order val="0"/>
          <c:tx>
            <c:strRef>
              <c:f>'31.'!$B$7</c:f>
              <c:strCache>
                <c:ptCount val="1"/>
                <c:pt idx="0">
                  <c:v>Avkastning på eget kapital</c:v>
                </c:pt>
              </c:strCache>
            </c:strRef>
          </c:tx>
          <c:spPr>
            <a:ln w="38100" cap="sq">
              <a:solidFill>
                <a:srgbClr val="4DAEC3"/>
              </a:solidFill>
              <a:prstDash val="solid"/>
              <a:round/>
            </a:ln>
            <a:effectLst/>
          </c:spPr>
          <c:marker>
            <c:symbol val="none"/>
          </c:marker>
          <c:cat>
            <c:numRef>
              <c:f>'31.'!$A$8:$A$29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'31.'!$B$8:$B$29</c:f>
              <c:numCache>
                <c:formatCode>0</c:formatCode>
                <c:ptCount val="22"/>
                <c:pt idx="0">
                  <c:v>28.4100846608282</c:v>
                </c:pt>
                <c:pt idx="1">
                  <c:v>20.827556302146771</c:v>
                </c:pt>
                <c:pt idx="2">
                  <c:v>18.755009557455267</c:v>
                </c:pt>
                <c:pt idx="3">
                  <c:v>6.5548302819183331</c:v>
                </c:pt>
                <c:pt idx="4">
                  <c:v>31.578806041159147</c:v>
                </c:pt>
                <c:pt idx="5">
                  <c:v>15.7178371431821</c:v>
                </c:pt>
                <c:pt idx="6">
                  <c:v>15.048989102898732</c:v>
                </c:pt>
                <c:pt idx="7">
                  <c:v>2.6807131946298641</c:v>
                </c:pt>
                <c:pt idx="8">
                  <c:v>34.371827818958558</c:v>
                </c:pt>
                <c:pt idx="9">
                  <c:v>17.209899457552797</c:v>
                </c:pt>
                <c:pt idx="10">
                  <c:v>16.296543768416502</c:v>
                </c:pt>
                <c:pt idx="11">
                  <c:v>9.8571599901144609</c:v>
                </c:pt>
                <c:pt idx="12">
                  <c:v>30.387629693835809</c:v>
                </c:pt>
                <c:pt idx="13">
                  <c:v>16.203806288995668</c:v>
                </c:pt>
                <c:pt idx="14">
                  <c:v>15.143062818390312</c:v>
                </c:pt>
                <c:pt idx="15">
                  <c:v>4.9558109708448237</c:v>
                </c:pt>
                <c:pt idx="16">
                  <c:v>24.042845822689991</c:v>
                </c:pt>
                <c:pt idx="17">
                  <c:v>9.6513394112335984</c:v>
                </c:pt>
                <c:pt idx="18">
                  <c:v>12.065062240476053</c:v>
                </c:pt>
                <c:pt idx="19">
                  <c:v>3.4695220900026054</c:v>
                </c:pt>
                <c:pt idx="20">
                  <c:v>22.520329165807347</c:v>
                </c:pt>
                <c:pt idx="21">
                  <c:v>14.491950950865018</c:v>
                </c:pt>
              </c:numCache>
            </c:numRef>
          </c:val>
          <c:smooth val="0"/>
          <c:extLst>
            <c:ext xmlns:c16="http://schemas.microsoft.com/office/drawing/2014/chart" uri="{C3380CC4-5D6E-409C-BE32-E72D297353CC}">
              <c16:uniqueId val="{00000000-04A7-4F16-82E8-181B094422E5}"/>
            </c:ext>
          </c:extLst>
        </c:ser>
        <c:ser>
          <c:idx val="1"/>
          <c:order val="1"/>
          <c:tx>
            <c:strRef>
              <c:f>'31.'!$C$7</c:f>
              <c:strCache>
                <c:ptCount val="1"/>
                <c:pt idx="0">
                  <c:v>Avkastning på eget kapital, glidande medelvärde</c:v>
                </c:pt>
              </c:strCache>
            </c:strRef>
          </c:tx>
          <c:spPr>
            <a:ln w="38100" cap="rnd">
              <a:solidFill>
                <a:srgbClr val="4DAEC3"/>
              </a:solidFill>
              <a:prstDash val="dash"/>
              <a:round/>
            </a:ln>
            <a:effectLst/>
          </c:spPr>
          <c:marker>
            <c:symbol val="none"/>
          </c:marker>
          <c:cat>
            <c:numRef>
              <c:f>'31.'!$A$8:$A$29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'31.'!$C$8:$C$29</c:f>
              <c:numCache>
                <c:formatCode>0</c:formatCode>
                <c:ptCount val="22"/>
                <c:pt idx="0">
                  <c:v>22.126086040062226</c:v>
                </c:pt>
                <c:pt idx="1">
                  <c:v>22.257339968164025</c:v>
                </c:pt>
                <c:pt idx="2">
                  <c:v>22.529091126605199</c:v>
                </c:pt>
                <c:pt idx="3">
                  <c:v>18.636870200587143</c:v>
                </c:pt>
                <c:pt idx="4">
                  <c:v>19.429050545669881</c:v>
                </c:pt>
                <c:pt idx="5">
                  <c:v>18.151620755928715</c:v>
                </c:pt>
                <c:pt idx="6">
                  <c:v>17.22511564228958</c:v>
                </c:pt>
                <c:pt idx="7">
                  <c:v>16.256586370467463</c:v>
                </c:pt>
                <c:pt idx="8">
                  <c:v>16.954841814917316</c:v>
                </c:pt>
                <c:pt idx="9">
                  <c:v>17.327857393509987</c:v>
                </c:pt>
                <c:pt idx="10">
                  <c:v>17.639746059889429</c:v>
                </c:pt>
                <c:pt idx="11">
                  <c:v>19.433857758760581</c:v>
                </c:pt>
                <c:pt idx="12">
                  <c:v>18.437808227479895</c:v>
                </c:pt>
                <c:pt idx="13">
                  <c:v>18.186284935340613</c:v>
                </c:pt>
                <c:pt idx="14">
                  <c:v>17.897914697834061</c:v>
                </c:pt>
                <c:pt idx="15">
                  <c:v>16.672577443016653</c:v>
                </c:pt>
                <c:pt idx="16">
                  <c:v>15.086381475230198</c:v>
                </c:pt>
                <c:pt idx="17">
                  <c:v>13.44826475578968</c:v>
                </c:pt>
                <c:pt idx="18">
                  <c:v>12.678764611311117</c:v>
                </c:pt>
                <c:pt idx="19">
                  <c:v>12.307192391100564</c:v>
                </c:pt>
                <c:pt idx="20">
                  <c:v>11.926563226879901</c:v>
                </c:pt>
                <c:pt idx="21">
                  <c:v>13.136716111787756</c:v>
                </c:pt>
              </c:numCache>
            </c:numRef>
          </c:val>
          <c:smooth val="0"/>
          <c:extLst>
            <c:ext xmlns:c16="http://schemas.microsoft.com/office/drawing/2014/chart" uri="{C3380CC4-5D6E-409C-BE32-E72D297353CC}">
              <c16:uniqueId val="{00000001-04A7-4F16-82E8-181B094422E5}"/>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in val="0"/>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0"/>
          <c:order val="0"/>
          <c:tx>
            <c:strRef>
              <c:f>'32.'!$B$7</c:f>
              <c:strCache>
                <c:ptCount val="1"/>
                <c:pt idx="0">
                  <c:v>Totalt</c:v>
                </c:pt>
              </c:strCache>
            </c:strRef>
          </c:tx>
          <c:spPr>
            <a:ln w="38100" cap="sq">
              <a:solidFill>
                <a:srgbClr val="98BF0C"/>
              </a:solidFill>
              <a:prstDash val="solid"/>
              <a:round/>
            </a:ln>
            <a:effectLst/>
          </c:spPr>
          <c:marker>
            <c:symbol val="none"/>
          </c:marker>
          <c:cat>
            <c:numRef>
              <c:f>'32.'!$A$8:$A$29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'32.'!$B$8:$B$29</c:f>
              <c:numCache>
                <c:formatCode>0</c:formatCode>
                <c:ptCount val="22"/>
                <c:pt idx="0">
                  <c:v>30.167885889000001</c:v>
                </c:pt>
                <c:pt idx="1">
                  <c:v>24.544648375000001</c:v>
                </c:pt>
                <c:pt idx="2">
                  <c:v>24.721752314</c:v>
                </c:pt>
                <c:pt idx="3">
                  <c:v>25.816719436</c:v>
                </c:pt>
                <c:pt idx="4">
                  <c:v>26.830884743999999</c:v>
                </c:pt>
                <c:pt idx="5">
                  <c:v>28.630788913</c:v>
                </c:pt>
                <c:pt idx="6">
                  <c:v>39.129098112000001</c:v>
                </c:pt>
                <c:pt idx="7">
                  <c:v>37.120414988999997</c:v>
                </c:pt>
                <c:pt idx="8">
                  <c:v>37.186910636</c:v>
                </c:pt>
                <c:pt idx="9">
                  <c:v>38.641512661999997</c:v>
                </c:pt>
                <c:pt idx="10">
                  <c:v>38.474094295</c:v>
                </c:pt>
                <c:pt idx="11">
                  <c:v>45.388864722999998</c:v>
                </c:pt>
                <c:pt idx="12">
                  <c:v>49.148104494000002</c:v>
                </c:pt>
                <c:pt idx="13">
                  <c:v>53.051143971000002</c:v>
                </c:pt>
                <c:pt idx="14">
                  <c:v>56.294548855999999</c:v>
                </c:pt>
                <c:pt idx="15">
                  <c:v>57.413721860000003</c:v>
                </c:pt>
                <c:pt idx="16">
                  <c:v>58.245183253999997</c:v>
                </c:pt>
                <c:pt idx="17">
                  <c:v>60.859926303999998</c:v>
                </c:pt>
                <c:pt idx="18">
                  <c:v>59.856975568999999</c:v>
                </c:pt>
                <c:pt idx="19">
                  <c:v>62.982803973000003</c:v>
                </c:pt>
                <c:pt idx="20">
                  <c:v>63.850855914999997</c:v>
                </c:pt>
                <c:pt idx="21">
                  <c:v>62.017503245</c:v>
                </c:pt>
              </c:numCache>
            </c:numRef>
          </c:val>
          <c:smooth val="0"/>
          <c:extLst>
            <c:ext xmlns:c16="http://schemas.microsoft.com/office/drawing/2014/chart" uri="{C3380CC4-5D6E-409C-BE32-E72D297353CC}">
              <c16:uniqueId val="{00000000-2FCF-49B4-9BA1-7360EF7C9535}"/>
            </c:ext>
          </c:extLst>
        </c:ser>
        <c:ser>
          <c:idx val="1"/>
          <c:order val="1"/>
          <c:tx>
            <c:strRef>
              <c:f>'32.'!$C$7</c:f>
              <c:strCache>
                <c:ptCount val="1"/>
                <c:pt idx="0">
                  <c:v>Företag</c:v>
                </c:pt>
              </c:strCache>
            </c:strRef>
          </c:tx>
          <c:spPr>
            <a:ln w="38100" cap="sq">
              <a:solidFill>
                <a:srgbClr val="4DAEC3"/>
              </a:solidFill>
              <a:prstDash val="solid"/>
              <a:round/>
            </a:ln>
            <a:effectLst/>
          </c:spPr>
          <c:marker>
            <c:symbol val="none"/>
          </c:marker>
          <c:cat>
            <c:numRef>
              <c:f>'32.'!$A$8:$A$29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'32.'!$C$8:$C$29</c:f>
              <c:numCache>
                <c:formatCode>0</c:formatCode>
                <c:ptCount val="22"/>
                <c:pt idx="0">
                  <c:v>22.312726502</c:v>
                </c:pt>
                <c:pt idx="1">
                  <c:v>15.775879543</c:v>
                </c:pt>
                <c:pt idx="2">
                  <c:v>15.998442616</c:v>
                </c:pt>
                <c:pt idx="3">
                  <c:v>16.509659768999999</c:v>
                </c:pt>
                <c:pt idx="4">
                  <c:v>17.551392658000001</c:v>
                </c:pt>
                <c:pt idx="5">
                  <c:v>18.947934231000001</c:v>
                </c:pt>
                <c:pt idx="6">
                  <c:v>22.136504408</c:v>
                </c:pt>
                <c:pt idx="7">
                  <c:v>22.605211570000002</c:v>
                </c:pt>
                <c:pt idx="8">
                  <c:v>22.778186643000002</c:v>
                </c:pt>
                <c:pt idx="9">
                  <c:v>23.475899235</c:v>
                </c:pt>
                <c:pt idx="10">
                  <c:v>23.231356731000002</c:v>
                </c:pt>
                <c:pt idx="11">
                  <c:v>25.695361342999998</c:v>
                </c:pt>
                <c:pt idx="12">
                  <c:v>26.385345567000002</c:v>
                </c:pt>
                <c:pt idx="13">
                  <c:v>29.115389228000002</c:v>
                </c:pt>
                <c:pt idx="14">
                  <c:v>31.971539146000001</c:v>
                </c:pt>
                <c:pt idx="15">
                  <c:v>32.338374913999999</c:v>
                </c:pt>
                <c:pt idx="16">
                  <c:v>34.054530640999999</c:v>
                </c:pt>
                <c:pt idx="17">
                  <c:v>35.817531025000001</c:v>
                </c:pt>
                <c:pt idx="18">
                  <c:v>34.858515390999997</c:v>
                </c:pt>
                <c:pt idx="19">
                  <c:v>36.481013644999997</c:v>
                </c:pt>
                <c:pt idx="20">
                  <c:v>35.959494231999997</c:v>
                </c:pt>
                <c:pt idx="21">
                  <c:v>32.766697028999999</c:v>
                </c:pt>
              </c:numCache>
            </c:numRef>
          </c:val>
          <c:smooth val="0"/>
          <c:extLst>
            <c:ext xmlns:c16="http://schemas.microsoft.com/office/drawing/2014/chart" uri="{C3380CC4-5D6E-409C-BE32-E72D297353CC}">
              <c16:uniqueId val="{00000001-2FCF-49B4-9BA1-7360EF7C9535}"/>
            </c:ext>
          </c:extLst>
        </c:ser>
        <c:ser>
          <c:idx val="2"/>
          <c:order val="2"/>
          <c:tx>
            <c:strRef>
              <c:f>'32.'!$D$7</c:f>
              <c:strCache>
                <c:ptCount val="1"/>
                <c:pt idx="0">
                  <c:v>Hushåll - Övrigt</c:v>
                </c:pt>
              </c:strCache>
            </c:strRef>
          </c:tx>
          <c:spPr>
            <a:ln w="38100" cap="rnd">
              <a:solidFill>
                <a:srgbClr val="F0B600"/>
              </a:solidFill>
              <a:prstDash val="solid"/>
              <a:round/>
            </a:ln>
            <a:effectLst/>
          </c:spPr>
          <c:marker>
            <c:symbol val="none"/>
          </c:marker>
          <c:cat>
            <c:numRef>
              <c:f>'32.'!$A$8:$A$29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'32.'!$D$8:$D$29</c:f>
              <c:numCache>
                <c:formatCode>0</c:formatCode>
                <c:ptCount val="22"/>
                <c:pt idx="0">
                  <c:v>7.8525469609999998</c:v>
                </c:pt>
                <c:pt idx="1">
                  <c:v>8.7687688319999992</c:v>
                </c:pt>
                <c:pt idx="2">
                  <c:v>8.7233096979999996</c:v>
                </c:pt>
                <c:pt idx="3">
                  <c:v>9.3070596670000008</c:v>
                </c:pt>
                <c:pt idx="4">
                  <c:v>9.2794920859999994</c:v>
                </c:pt>
                <c:pt idx="5">
                  <c:v>9.6828546820000003</c:v>
                </c:pt>
                <c:pt idx="6">
                  <c:v>16.990131769000001</c:v>
                </c:pt>
                <c:pt idx="7">
                  <c:v>14.512808761000001</c:v>
                </c:pt>
                <c:pt idx="8">
                  <c:v>14.406383221</c:v>
                </c:pt>
                <c:pt idx="9">
                  <c:v>15.163372426</c:v>
                </c:pt>
                <c:pt idx="10">
                  <c:v>15.240483587</c:v>
                </c:pt>
                <c:pt idx="11">
                  <c:v>19.691330368999999</c:v>
                </c:pt>
                <c:pt idx="12">
                  <c:v>22.762758927</c:v>
                </c:pt>
                <c:pt idx="13">
                  <c:v>23.933426627999999</c:v>
                </c:pt>
                <c:pt idx="14">
                  <c:v>24.320732087</c:v>
                </c:pt>
                <c:pt idx="15">
                  <c:v>25.073218947000001</c:v>
                </c:pt>
                <c:pt idx="16">
                  <c:v>24.188459859999998</c:v>
                </c:pt>
                <c:pt idx="17">
                  <c:v>25.040205645</c:v>
                </c:pt>
                <c:pt idx="18">
                  <c:v>24.996317996999998</c:v>
                </c:pt>
                <c:pt idx="19">
                  <c:v>26.499720669999999</c:v>
                </c:pt>
                <c:pt idx="20">
                  <c:v>27.889522933999999</c:v>
                </c:pt>
                <c:pt idx="21">
                  <c:v>29.248993077000002</c:v>
                </c:pt>
              </c:numCache>
            </c:numRef>
          </c:val>
          <c:smooth val="0"/>
          <c:extLst>
            <c:ext xmlns:c16="http://schemas.microsoft.com/office/drawing/2014/chart" uri="{C3380CC4-5D6E-409C-BE32-E72D297353CC}">
              <c16:uniqueId val="{00000002-2FCF-49B4-9BA1-7360EF7C9535}"/>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0.12556916917228003"/>
          <c:y val="0.87878040406937585"/>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2"/>
          <c:order val="0"/>
          <c:tx>
            <c:strRef>
              <c:f>'33.'!$B$7</c:f>
              <c:strCache>
                <c:ptCount val="1"/>
                <c:pt idx="0">
                  <c:v>Räntenettomarginal</c:v>
                </c:pt>
              </c:strCache>
            </c:strRef>
          </c:tx>
          <c:spPr>
            <a:ln w="38100" cap="sq">
              <a:solidFill>
                <a:srgbClr val="4DAEC3"/>
              </a:solidFill>
              <a:prstDash val="solid"/>
              <a:round/>
            </a:ln>
            <a:effectLst/>
          </c:spPr>
          <c:marker>
            <c:symbol val="none"/>
          </c:marker>
          <c:cat>
            <c:numRef>
              <c:f>'33.'!$A$8:$A$29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'33.'!$B$8:$B$29</c:f>
              <c:numCache>
                <c:formatCode>0.00</c:formatCode>
                <c:ptCount val="22"/>
                <c:pt idx="0">
                  <c:v>2.8391318737859552</c:v>
                </c:pt>
                <c:pt idx="1">
                  <c:v>2.195259499045215</c:v>
                </c:pt>
                <c:pt idx="2">
                  <c:v>1.9578284991319825</c:v>
                </c:pt>
                <c:pt idx="3">
                  <c:v>1.145337934684475</c:v>
                </c:pt>
                <c:pt idx="4">
                  <c:v>2.8970170437851919</c:v>
                </c:pt>
                <c:pt idx="5">
                  <c:v>1.7683316164205289</c:v>
                </c:pt>
                <c:pt idx="6">
                  <c:v>1.7018857303812407</c:v>
                </c:pt>
                <c:pt idx="7">
                  <c:v>1.0118859811377299</c:v>
                </c:pt>
                <c:pt idx="8">
                  <c:v>2.7310044676111489</c:v>
                </c:pt>
                <c:pt idx="9">
                  <c:v>1.8501123089531371</c:v>
                </c:pt>
                <c:pt idx="10">
                  <c:v>1.7625345544334217</c:v>
                </c:pt>
                <c:pt idx="11">
                  <c:v>0.90696857402663389</c:v>
                </c:pt>
                <c:pt idx="12">
                  <c:v>2.2576551894097179</c:v>
                </c:pt>
                <c:pt idx="13">
                  <c:v>1.5628627421904413</c:v>
                </c:pt>
                <c:pt idx="14">
                  <c:v>1.4737254498153969</c:v>
                </c:pt>
                <c:pt idx="15">
                  <c:v>0.82214246498091592</c:v>
                </c:pt>
                <c:pt idx="16">
                  <c:v>1.8921554580023519</c:v>
                </c:pt>
                <c:pt idx="17">
                  <c:v>1.4557283404019881</c:v>
                </c:pt>
                <c:pt idx="18">
                  <c:v>1.2695095618635688</c:v>
                </c:pt>
                <c:pt idx="19">
                  <c:v>0.66453362590137144</c:v>
                </c:pt>
                <c:pt idx="20">
                  <c:v>2.22952029934598</c:v>
                </c:pt>
                <c:pt idx="21">
                  <c:v>1.8064344091035098</c:v>
                </c:pt>
              </c:numCache>
            </c:numRef>
          </c:val>
          <c:smooth val="0"/>
          <c:extLst>
            <c:ext xmlns:c16="http://schemas.microsoft.com/office/drawing/2014/chart" uri="{C3380CC4-5D6E-409C-BE32-E72D297353CC}">
              <c16:uniqueId val="{00000000-EA24-46BE-87BC-1C4720369094}"/>
            </c:ext>
          </c:extLst>
        </c:ser>
        <c:ser>
          <c:idx val="1"/>
          <c:order val="1"/>
          <c:tx>
            <c:strRef>
              <c:f>'33.'!$C$7</c:f>
              <c:strCache>
                <c:ptCount val="1"/>
                <c:pt idx="0">
                  <c:v>Andel problemlån</c:v>
                </c:pt>
              </c:strCache>
            </c:strRef>
          </c:tx>
          <c:spPr>
            <a:ln w="38100" cap="sq">
              <a:solidFill>
                <a:srgbClr val="E64848"/>
              </a:solidFill>
              <a:prstDash val="solid"/>
              <a:round/>
            </a:ln>
            <a:effectLst/>
          </c:spPr>
          <c:marker>
            <c:symbol val="none"/>
          </c:marker>
          <c:cat>
            <c:numRef>
              <c:f>'33.'!$A$8:$A$29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'33.'!$C$8:$C$29</c:f>
              <c:numCache>
                <c:formatCode>0.00</c:formatCode>
                <c:ptCount val="22"/>
                <c:pt idx="0">
                  <c:v>0.41457258874273534</c:v>
                </c:pt>
                <c:pt idx="1">
                  <c:v>0.37652396470537464</c:v>
                </c:pt>
                <c:pt idx="2">
                  <c:v>0.36553071716270324</c:v>
                </c:pt>
                <c:pt idx="3">
                  <c:v>0.29287331143851686</c:v>
                </c:pt>
                <c:pt idx="4">
                  <c:v>0.22509507274649448</c:v>
                </c:pt>
                <c:pt idx="5">
                  <c:v>0.26450098921671156</c:v>
                </c:pt>
                <c:pt idx="6">
                  <c:v>0.25039653567679371</c:v>
                </c:pt>
                <c:pt idx="7">
                  <c:v>0.19846961233888216</c:v>
                </c:pt>
                <c:pt idx="8">
                  <c:v>0.28107366666579858</c:v>
                </c:pt>
                <c:pt idx="9">
                  <c:v>0.31608300212764412</c:v>
                </c:pt>
                <c:pt idx="10">
                  <c:v>0.31326533463378625</c:v>
                </c:pt>
                <c:pt idx="11">
                  <c:v>0.23470167590804261</c:v>
                </c:pt>
                <c:pt idx="12">
                  <c:v>0.20762940220394138</c:v>
                </c:pt>
                <c:pt idx="13">
                  <c:v>0.37891739568229699</c:v>
                </c:pt>
                <c:pt idx="14">
                  <c:v>0.32097595723582728</c:v>
                </c:pt>
                <c:pt idx="15">
                  <c:v>0.33966977714164975</c:v>
                </c:pt>
                <c:pt idx="16">
                  <c:v>0.76827195978720431</c:v>
                </c:pt>
                <c:pt idx="17">
                  <c:v>0.74204045621695935</c:v>
                </c:pt>
                <c:pt idx="18">
                  <c:v>0.71780410030120889</c:v>
                </c:pt>
                <c:pt idx="19">
                  <c:v>0.67820048242862319</c:v>
                </c:pt>
                <c:pt idx="20">
                  <c:v>0.76864432992693998</c:v>
                </c:pt>
                <c:pt idx="21">
                  <c:v>0.74637194239149096</c:v>
                </c:pt>
              </c:numCache>
            </c:numRef>
          </c:val>
          <c:smooth val="0"/>
          <c:extLst>
            <c:ext xmlns:c16="http://schemas.microsoft.com/office/drawing/2014/chart" uri="{C3380CC4-5D6E-409C-BE32-E72D297353CC}">
              <c16:uniqueId val="{00000001-EA24-46BE-87BC-1C4720369094}"/>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3"/>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1"/>
      </c:valAx>
      <c:spPr>
        <a:noFill/>
        <a:ln>
          <a:solidFill>
            <a:srgbClr val="A4A4A4"/>
          </a:solidFill>
        </a:ln>
        <a:effectLst/>
      </c:spPr>
    </c:plotArea>
    <c:legend>
      <c:legendPos val="b"/>
      <c:layout>
        <c:manualLayout>
          <c:xMode val="edge"/>
          <c:yMode val="edge"/>
          <c:x val="0.12425356030176131"/>
          <c:y val="0.9030645476708864"/>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0"/>
          <c:order val="0"/>
          <c:tx>
            <c:strRef>
              <c:f>'4.'!$B$7</c:f>
              <c:strCache>
                <c:ptCount val="1"/>
                <c:pt idx="0">
                  <c:v>Total</c:v>
                </c:pt>
              </c:strCache>
            </c:strRef>
          </c:tx>
          <c:spPr>
            <a:ln w="38100" cap="sq">
              <a:solidFill>
                <a:srgbClr val="98BF0C"/>
              </a:solidFill>
              <a:prstDash val="solid"/>
              <a:round/>
            </a:ln>
            <a:effectLst/>
          </c:spPr>
          <c:marker>
            <c:symbol val="none"/>
          </c:marker>
          <c:cat>
            <c:numRef>
              <c:f>'4.'!$A$8:$A$29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'4.'!$B$8:$B$29</c:f>
              <c:numCache>
                <c:formatCode>#,##0</c:formatCode>
                <c:ptCount val="22"/>
                <c:pt idx="0">
                  <c:v>4936.6714084680007</c:v>
                </c:pt>
                <c:pt idx="1">
                  <c:v>5027.4770591784363</c:v>
                </c:pt>
                <c:pt idx="2">
                  <c:v>5062.7867368827501</c:v>
                </c:pt>
                <c:pt idx="3">
                  <c:v>5105.6687043226739</c:v>
                </c:pt>
                <c:pt idx="4">
                  <c:v>5168.4623468754326</c:v>
                </c:pt>
                <c:pt idx="5">
                  <c:v>5309.7261264884301</c:v>
                </c:pt>
                <c:pt idx="6">
                  <c:v>5547.6333893483798</c:v>
                </c:pt>
                <c:pt idx="7">
                  <c:v>5573.9164001203535</c:v>
                </c:pt>
                <c:pt idx="8">
                  <c:v>5699.2962247583228</c:v>
                </c:pt>
                <c:pt idx="9">
                  <c:v>5826.1689049378356</c:v>
                </c:pt>
                <c:pt idx="10">
                  <c:v>5911.115993220551</c:v>
                </c:pt>
                <c:pt idx="11">
                  <c:v>5979.2960347716298</c:v>
                </c:pt>
                <c:pt idx="12">
                  <c:v>6099.2625178846893</c:v>
                </c:pt>
                <c:pt idx="13">
                  <c:v>6200.6567027543388</c:v>
                </c:pt>
                <c:pt idx="14">
                  <c:v>6259.4647777280607</c:v>
                </c:pt>
                <c:pt idx="15">
                  <c:v>6305.116780420849</c:v>
                </c:pt>
                <c:pt idx="16">
                  <c:v>6380.5289864134311</c:v>
                </c:pt>
                <c:pt idx="17">
                  <c:v>6525.88191215802</c:v>
                </c:pt>
                <c:pt idx="18">
                  <c:v>6541.0900711863178</c:v>
                </c:pt>
                <c:pt idx="19">
                  <c:v>6574.0475428437512</c:v>
                </c:pt>
                <c:pt idx="20">
                  <c:v>6773.7011876383503</c:v>
                </c:pt>
                <c:pt idx="21">
                  <c:v>6881.7996594671495</c:v>
                </c:pt>
              </c:numCache>
            </c:numRef>
          </c:val>
          <c:smooth val="0"/>
          <c:extLst>
            <c:ext xmlns:c16="http://schemas.microsoft.com/office/drawing/2014/chart" uri="{C3380CC4-5D6E-409C-BE32-E72D297353CC}">
              <c16:uniqueId val="{00000000-05B9-43E6-BE37-E6AC3BD2793D}"/>
            </c:ext>
          </c:extLst>
        </c:ser>
        <c:ser>
          <c:idx val="1"/>
          <c:order val="1"/>
          <c:tx>
            <c:strRef>
              <c:f>'4.'!$C$7</c:f>
              <c:strCache>
                <c:ptCount val="1"/>
                <c:pt idx="0">
                  <c:v>BNP</c:v>
                </c:pt>
              </c:strCache>
            </c:strRef>
          </c:tx>
          <c:spPr>
            <a:ln w="38100" cap="sq">
              <a:solidFill>
                <a:srgbClr val="A05599"/>
              </a:solidFill>
              <a:prstDash val="dash"/>
              <a:round/>
            </a:ln>
            <a:effectLst/>
          </c:spPr>
          <c:marker>
            <c:symbol val="none"/>
          </c:marker>
          <c:cat>
            <c:numRef>
              <c:f>'4.'!$A$8:$A$29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'4.'!$C$8:$C$29</c:f>
              <c:numCache>
                <c:formatCode>#,##0</c:formatCode>
                <c:ptCount val="22"/>
                <c:pt idx="0">
                  <c:v>3998.0819999999999</c:v>
                </c:pt>
                <c:pt idx="1">
                  <c:v>4064.471</c:v>
                </c:pt>
                <c:pt idx="2">
                  <c:v>4128.9650000000001</c:v>
                </c:pt>
                <c:pt idx="3">
                  <c:v>4201.5429999999997</c:v>
                </c:pt>
                <c:pt idx="4">
                  <c:v>4245.3209999999999</c:v>
                </c:pt>
                <c:pt idx="5">
                  <c:v>4298.8779999999997</c:v>
                </c:pt>
                <c:pt idx="6">
                  <c:v>4336.4520000000002</c:v>
                </c:pt>
                <c:pt idx="7">
                  <c:v>4385.4970000000003</c:v>
                </c:pt>
                <c:pt idx="8">
                  <c:v>4441.4070000000002</c:v>
                </c:pt>
                <c:pt idx="9">
                  <c:v>4488.8559999999998</c:v>
                </c:pt>
                <c:pt idx="10">
                  <c:v>4530.9430000000002</c:v>
                </c:pt>
                <c:pt idx="11">
                  <c:v>4578.8329999999996</c:v>
                </c:pt>
                <c:pt idx="12">
                  <c:v>4635.9880000000003</c:v>
                </c:pt>
                <c:pt idx="13">
                  <c:v>4690.6080000000002</c:v>
                </c:pt>
                <c:pt idx="14">
                  <c:v>4735.8639999999996</c:v>
                </c:pt>
                <c:pt idx="15">
                  <c:v>4789.8530000000001</c:v>
                </c:pt>
                <c:pt idx="16">
                  <c:v>4845.6949999999997</c:v>
                </c:pt>
                <c:pt idx="17">
                  <c:v>4897.674</c:v>
                </c:pt>
                <c:pt idx="18">
                  <c:v>4903.62</c:v>
                </c:pt>
                <c:pt idx="19">
                  <c:v>5026</c:v>
                </c:pt>
                <c:pt idx="20">
                  <c:v>5010.9219999999996</c:v>
                </c:pt>
                <c:pt idx="21">
                  <c:v>4579.9827079999995</c:v>
                </c:pt>
              </c:numCache>
            </c:numRef>
          </c:val>
          <c:smooth val="0"/>
          <c:extLst>
            <c:ext xmlns:c16="http://schemas.microsoft.com/office/drawing/2014/chart" uri="{C3380CC4-5D6E-409C-BE32-E72D297353CC}">
              <c16:uniqueId val="{00000001-05B9-43E6-BE37-E6AC3BD2793D}"/>
            </c:ext>
          </c:extLst>
        </c:ser>
        <c:ser>
          <c:idx val="2"/>
          <c:order val="2"/>
          <c:tx>
            <c:strRef>
              <c:f>'4.'!$D$7</c:f>
              <c:strCache>
                <c:ptCount val="1"/>
                <c:pt idx="0">
                  <c:v>Hushåll - Bolån</c:v>
                </c:pt>
              </c:strCache>
            </c:strRef>
          </c:tx>
          <c:spPr>
            <a:ln w="38100" cap="rnd">
              <a:solidFill>
                <a:srgbClr val="E64848"/>
              </a:solidFill>
              <a:prstDash val="solid"/>
              <a:round/>
            </a:ln>
            <a:effectLst/>
          </c:spPr>
          <c:marker>
            <c:symbol val="none"/>
          </c:marker>
          <c:cat>
            <c:numRef>
              <c:f>'4.'!$A$8:$A$29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'4.'!$D$8:$D$29</c:f>
              <c:numCache>
                <c:formatCode>#,##0</c:formatCode>
                <c:ptCount val="22"/>
                <c:pt idx="0">
                  <c:v>2596.9101477600002</c:v>
                </c:pt>
                <c:pt idx="1">
                  <c:v>2674.8734601073352</c:v>
                </c:pt>
                <c:pt idx="2">
                  <c:v>2729.5439915949032</c:v>
                </c:pt>
                <c:pt idx="3">
                  <c:v>2787.4796943544179</c:v>
                </c:pt>
                <c:pt idx="4">
                  <c:v>2833.4203637787605</c:v>
                </c:pt>
                <c:pt idx="5">
                  <c:v>2902.8939547680161</c:v>
                </c:pt>
                <c:pt idx="6">
                  <c:v>2946.032124975347</c:v>
                </c:pt>
                <c:pt idx="7">
                  <c:v>2996.0298753353109</c:v>
                </c:pt>
                <c:pt idx="8">
                  <c:v>3041.7853190588203</c:v>
                </c:pt>
                <c:pt idx="9">
                  <c:v>3101.2490449007814</c:v>
                </c:pt>
                <c:pt idx="10">
                  <c:v>3152.446561112627</c:v>
                </c:pt>
                <c:pt idx="11">
                  <c:v>3207.1598609187549</c:v>
                </c:pt>
                <c:pt idx="12">
                  <c:v>3251.12230721692</c:v>
                </c:pt>
                <c:pt idx="13">
                  <c:v>3296.1162717149296</c:v>
                </c:pt>
                <c:pt idx="14">
                  <c:v>3330.4147092675498</c:v>
                </c:pt>
                <c:pt idx="15">
                  <c:v>3376.9089378686699</c:v>
                </c:pt>
                <c:pt idx="16">
                  <c:v>3405.3386862699303</c:v>
                </c:pt>
                <c:pt idx="17">
                  <c:v>3468.3922899469799</c:v>
                </c:pt>
                <c:pt idx="18">
                  <c:v>3489.9550755863283</c:v>
                </c:pt>
                <c:pt idx="19">
                  <c:v>3540.0098228093302</c:v>
                </c:pt>
                <c:pt idx="20">
                  <c:v>3594.2636903403204</c:v>
                </c:pt>
                <c:pt idx="21">
                  <c:v>3650.05177440647</c:v>
                </c:pt>
              </c:numCache>
            </c:numRef>
          </c:val>
          <c:smooth val="0"/>
          <c:extLst>
            <c:ext xmlns:c16="http://schemas.microsoft.com/office/drawing/2014/chart" uri="{C3380CC4-5D6E-409C-BE32-E72D297353CC}">
              <c16:uniqueId val="{00000002-05B9-43E6-BE37-E6AC3BD2793D}"/>
            </c:ext>
          </c:extLst>
        </c:ser>
        <c:ser>
          <c:idx val="3"/>
          <c:order val="3"/>
          <c:tx>
            <c:strRef>
              <c:f>'4.'!$E$7</c:f>
              <c:strCache>
                <c:ptCount val="1"/>
                <c:pt idx="0">
                  <c:v>Företag</c:v>
                </c:pt>
              </c:strCache>
            </c:strRef>
          </c:tx>
          <c:spPr>
            <a:ln w="38100" cap="sq">
              <a:solidFill>
                <a:srgbClr val="4DAEC3"/>
              </a:solidFill>
              <a:prstDash val="solid"/>
              <a:round/>
            </a:ln>
            <a:effectLst/>
          </c:spPr>
          <c:marker>
            <c:symbol val="none"/>
          </c:marker>
          <c:cat>
            <c:numRef>
              <c:f>'4.'!$A$8:$A$29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'4.'!$E$8:$E$29</c:f>
              <c:numCache>
                <c:formatCode>#,##0</c:formatCode>
                <c:ptCount val="22"/>
                <c:pt idx="0">
                  <c:v>1927.294652131</c:v>
                </c:pt>
                <c:pt idx="1">
                  <c:v>1933.814115014083</c:v>
                </c:pt>
                <c:pt idx="2">
                  <c:v>1917.3023103293319</c:v>
                </c:pt>
                <c:pt idx="3">
                  <c:v>1908.4609974544398</c:v>
                </c:pt>
                <c:pt idx="4">
                  <c:v>1922.7522562631832</c:v>
                </c:pt>
                <c:pt idx="5">
                  <c:v>1987.6876760884761</c:v>
                </c:pt>
                <c:pt idx="6">
                  <c:v>2176.7715042017089</c:v>
                </c:pt>
                <c:pt idx="7">
                  <c:v>2156.2867312775902</c:v>
                </c:pt>
                <c:pt idx="8">
                  <c:v>2230.5735768108548</c:v>
                </c:pt>
                <c:pt idx="9">
                  <c:v>2282.534726824204</c:v>
                </c:pt>
                <c:pt idx="10">
                  <c:v>2309.6069835705143</c:v>
                </c:pt>
                <c:pt idx="11">
                  <c:v>2312.7756680233051</c:v>
                </c:pt>
                <c:pt idx="12">
                  <c:v>2382.9780994546795</c:v>
                </c:pt>
                <c:pt idx="13">
                  <c:v>2423.6726303562195</c:v>
                </c:pt>
                <c:pt idx="14">
                  <c:v>2440.2302528166601</c:v>
                </c:pt>
                <c:pt idx="15">
                  <c:v>2445.4068010444698</c:v>
                </c:pt>
                <c:pt idx="16">
                  <c:v>2486.5976637482204</c:v>
                </c:pt>
                <c:pt idx="17">
                  <c:v>2552.3440626257598</c:v>
                </c:pt>
                <c:pt idx="18">
                  <c:v>2540.6234801288006</c:v>
                </c:pt>
                <c:pt idx="19">
                  <c:v>2526.0226467150801</c:v>
                </c:pt>
                <c:pt idx="20">
                  <c:v>2674.1220751861601</c:v>
                </c:pt>
                <c:pt idx="21">
                  <c:v>2717.0173585172101</c:v>
                </c:pt>
              </c:numCache>
            </c:numRef>
          </c:val>
          <c:smooth val="0"/>
          <c:extLst>
            <c:ext xmlns:c16="http://schemas.microsoft.com/office/drawing/2014/chart" uri="{C3380CC4-5D6E-409C-BE32-E72D297353CC}">
              <c16:uniqueId val="{00000003-05B9-43E6-BE37-E6AC3BD2793D}"/>
            </c:ext>
          </c:extLst>
        </c:ser>
        <c:ser>
          <c:idx val="5"/>
          <c:order val="5"/>
          <c:tx>
            <c:strRef>
              <c:f>'4.'!$F$7</c:f>
              <c:strCache>
                <c:ptCount val="1"/>
                <c:pt idx="0">
                  <c:v>Hushåll - Övrigt</c:v>
                </c:pt>
              </c:strCache>
            </c:strRef>
          </c:tx>
          <c:spPr>
            <a:ln w="28575" cap="rnd">
              <a:solidFill>
                <a:srgbClr val="F0B600"/>
              </a:solidFill>
              <a:round/>
            </a:ln>
            <a:effectLst/>
          </c:spPr>
          <c:marker>
            <c:symbol val="none"/>
          </c:marker>
          <c:cat>
            <c:numRef>
              <c:f>'4.'!$A$8:$A$29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'4.'!$F$8:$F$29</c:f>
              <c:numCache>
                <c:formatCode>#,##0</c:formatCode>
                <c:ptCount val="22"/>
                <c:pt idx="0">
                  <c:v>412.46660857699999</c:v>
                </c:pt>
                <c:pt idx="1">
                  <c:v>418.78948405701794</c:v>
                </c:pt>
                <c:pt idx="2">
                  <c:v>415.94043495851503</c:v>
                </c:pt>
                <c:pt idx="3">
                  <c:v>409.728012513816</c:v>
                </c:pt>
                <c:pt idx="4">
                  <c:v>412.28972683348894</c:v>
                </c:pt>
                <c:pt idx="5">
                  <c:v>419.14449563193801</c:v>
                </c:pt>
                <c:pt idx="6">
                  <c:v>424.82976017132404</c:v>
                </c:pt>
                <c:pt idx="7">
                  <c:v>421.59979350745198</c:v>
                </c:pt>
                <c:pt idx="8">
                  <c:v>426.93732888864793</c:v>
                </c:pt>
                <c:pt idx="9">
                  <c:v>442.38513321284995</c:v>
                </c:pt>
                <c:pt idx="10">
                  <c:v>449.06244853740901</c:v>
                </c:pt>
                <c:pt idx="11">
                  <c:v>459.36050582957</c:v>
                </c:pt>
                <c:pt idx="12">
                  <c:v>465.16211121309004</c:v>
                </c:pt>
                <c:pt idx="13">
                  <c:v>480.86780068319007</c:v>
                </c:pt>
                <c:pt idx="14">
                  <c:v>488.81981564384995</c:v>
                </c:pt>
                <c:pt idx="15">
                  <c:v>482.80104150771001</c:v>
                </c:pt>
                <c:pt idx="16">
                  <c:v>488.59263639528001</c:v>
                </c:pt>
                <c:pt idx="17">
                  <c:v>505.1455595852799</c:v>
                </c:pt>
                <c:pt idx="18">
                  <c:v>510.5115154711898</c:v>
                </c:pt>
                <c:pt idx="19">
                  <c:v>508.01507331934005</c:v>
                </c:pt>
                <c:pt idx="20">
                  <c:v>505.31542211187013</c:v>
                </c:pt>
                <c:pt idx="21">
                  <c:v>514.73052654346998</c:v>
                </c:pt>
              </c:numCache>
            </c:numRef>
          </c:val>
          <c:smooth val="0"/>
          <c:extLst>
            <c:ext xmlns:c16="http://schemas.microsoft.com/office/drawing/2014/chart" uri="{C3380CC4-5D6E-409C-BE32-E72D297353CC}">
              <c16:uniqueId val="{00000004-05B9-43E6-BE37-E6AC3BD2793D}"/>
            </c:ext>
          </c:extLst>
        </c:ser>
        <c:dLbls>
          <c:showLegendKey val="0"/>
          <c:showVal val="0"/>
          <c:showCatName val="0"/>
          <c:showSerName val="0"/>
          <c:showPercent val="0"/>
          <c:showBubbleSize val="0"/>
        </c:dLbls>
        <c:smooth val="0"/>
        <c:axId val="517726632"/>
        <c:axId val="517737456"/>
        <c:extLst>
          <c:ext xmlns:c15="http://schemas.microsoft.com/office/drawing/2012/chart" uri="{02D57815-91ED-43cb-92C2-25804820EDAC}">
            <c15:filteredLineSeries>
              <c15:ser>
                <c:idx val="4"/>
                <c:order val="4"/>
                <c:tx>
                  <c:strRef>
                    <c:extLst>
                      <c:ext uri="{02D57815-91ED-43cb-92C2-25804820EDAC}">
                        <c15:formulaRef>
                          <c15:sqref>'4.'!#REF!</c15:sqref>
                        </c15:formulaRef>
                      </c:ext>
                    </c:extLst>
                    <c:strCache>
                      <c:ptCount val="1"/>
                      <c:pt idx="0">
                        <c:v>#REF!</c:v>
                      </c:pt>
                    </c:strCache>
                  </c:strRef>
                </c:tx>
                <c:spPr>
                  <a:ln w="28575" cap="rnd">
                    <a:solidFill>
                      <a:schemeClr val="accent5"/>
                    </a:solidFill>
                    <a:round/>
                  </a:ln>
                  <a:effectLst/>
                </c:spPr>
                <c:marker>
                  <c:symbol val="none"/>
                </c:marker>
                <c:cat>
                  <c:numRef>
                    <c:extLst>
                      <c:ext uri="{02D57815-91ED-43cb-92C2-25804820EDAC}">
                        <c15:formulaRef>
                          <c15:sqref>'4.'!$A$8:$A$29</c15:sqref>
                        </c15:formulaRef>
                      </c:ext>
                    </c:extLst>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extLst>
                      <c:ext uri="{02D57815-91ED-43cb-92C2-25804820EDAC}">
                        <c15:formulaRef>
                          <c15:sqref>'4.'!#REF!</c15:sqref>
                        </c15:formulaRef>
                      </c:ext>
                    </c:extLst>
                    <c:numCache>
                      <c:formatCode>General</c:formatCode>
                      <c:ptCount val="1"/>
                      <c:pt idx="0">
                        <c:v>1</c:v>
                      </c:pt>
                    </c:numCache>
                  </c:numRef>
                </c:val>
                <c:smooth val="0"/>
                <c:extLst>
                  <c:ext xmlns:c16="http://schemas.microsoft.com/office/drawing/2014/chart" uri="{C3380CC4-5D6E-409C-BE32-E72D297353CC}">
                    <c16:uniqueId val="{00000005-05B9-43E6-BE37-E6AC3BD2793D}"/>
                  </c:ext>
                </c:extLst>
              </c15:ser>
            </c15:filteredLineSeries>
          </c:ext>
        </c:extLst>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7.426042322205044E-2"/>
          <c:y val="0.88098805348769493"/>
          <c:w val="0.88759603556287603"/>
          <c:h val="9.0312504074156155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8509410757510569"/>
        </c:manualLayout>
      </c:layout>
      <c:lineChart>
        <c:grouping val="standard"/>
        <c:varyColors val="0"/>
        <c:ser>
          <c:idx val="0"/>
          <c:order val="0"/>
          <c:tx>
            <c:strRef>
              <c:f>'5.'!$B$7</c:f>
              <c:strCache>
                <c:ptCount val="1"/>
                <c:pt idx="0">
                  <c:v>Storbanker</c:v>
                </c:pt>
              </c:strCache>
            </c:strRef>
          </c:tx>
          <c:spPr>
            <a:ln w="38100" cap="sq">
              <a:solidFill>
                <a:srgbClr val="4DAEC3"/>
              </a:solidFill>
              <a:prstDash val="solid"/>
              <a:round/>
            </a:ln>
            <a:effectLst/>
          </c:spPr>
          <c:marker>
            <c:symbol val="none"/>
          </c:marker>
          <c:cat>
            <c:numRef>
              <c:f>'5.'!$A$8:$A$29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'5.'!$B$8:$B$29</c:f>
              <c:numCache>
                <c:formatCode>0</c:formatCode>
                <c:ptCount val="22"/>
                <c:pt idx="0">
                  <c:v>48.857026692284443</c:v>
                </c:pt>
                <c:pt idx="1">
                  <c:v>49.992238550465387</c:v>
                </c:pt>
                <c:pt idx="2">
                  <c:v>50.687195960780542</c:v>
                </c:pt>
                <c:pt idx="3">
                  <c:v>43.519504132855907</c:v>
                </c:pt>
                <c:pt idx="4">
                  <c:v>43.154566402092222</c:v>
                </c:pt>
                <c:pt idx="5">
                  <c:v>47.421987690396215</c:v>
                </c:pt>
                <c:pt idx="6">
                  <c:v>49.635809031535707</c:v>
                </c:pt>
                <c:pt idx="7">
                  <c:v>57.88739292561084</c:v>
                </c:pt>
                <c:pt idx="8">
                  <c:v>54.344681001868167</c:v>
                </c:pt>
                <c:pt idx="9">
                  <c:v>45.634168558708581</c:v>
                </c:pt>
                <c:pt idx="10">
                  <c:v>49.462824110633527</c:v>
                </c:pt>
                <c:pt idx="11">
                  <c:v>47.678661577883034</c:v>
                </c:pt>
                <c:pt idx="12">
                  <c:v>46.496478717529733</c:v>
                </c:pt>
                <c:pt idx="13">
                  <c:v>46.789717718620253</c:v>
                </c:pt>
                <c:pt idx="14">
                  <c:v>45.870430595926607</c:v>
                </c:pt>
                <c:pt idx="15">
                  <c:v>42.755096247476551</c:v>
                </c:pt>
                <c:pt idx="16">
                  <c:v>41.621012833333403</c:v>
                </c:pt>
                <c:pt idx="17">
                  <c:v>50.871935970461202</c:v>
                </c:pt>
                <c:pt idx="18">
                  <c:v>41.432078714843179</c:v>
                </c:pt>
                <c:pt idx="19">
                  <c:v>29.687490184526155</c:v>
                </c:pt>
                <c:pt idx="20">
                  <c:v>38.528833406765742</c:v>
                </c:pt>
                <c:pt idx="21">
                  <c:v>40.15952991104956</c:v>
                </c:pt>
              </c:numCache>
            </c:numRef>
          </c:val>
          <c:smooth val="0"/>
          <c:extLst>
            <c:ext xmlns:c16="http://schemas.microsoft.com/office/drawing/2014/chart" uri="{C3380CC4-5D6E-409C-BE32-E72D297353CC}">
              <c16:uniqueId val="{00000000-ED12-4304-B82B-14518923D094}"/>
            </c:ext>
          </c:extLst>
        </c:ser>
        <c:ser>
          <c:idx val="1"/>
          <c:order val="1"/>
          <c:tx>
            <c:strRef>
              <c:f>'5.'!$C$7</c:f>
              <c:strCache>
                <c:ptCount val="1"/>
                <c:pt idx="0">
                  <c:v>Retailbanker</c:v>
                </c:pt>
              </c:strCache>
            </c:strRef>
          </c:tx>
          <c:spPr>
            <a:ln w="38100" cap="sq">
              <a:solidFill>
                <a:srgbClr val="E64848"/>
              </a:solidFill>
              <a:prstDash val="solid"/>
              <a:round/>
            </a:ln>
            <a:effectLst/>
          </c:spPr>
          <c:marker>
            <c:symbol val="none"/>
          </c:marker>
          <c:cat>
            <c:numRef>
              <c:f>'5.'!$A$8:$A$29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'5.'!$C$8:$C$29</c:f>
              <c:numCache>
                <c:formatCode>0</c:formatCode>
                <c:ptCount val="22"/>
                <c:pt idx="0">
                  <c:v>27.30135854740422</c:v>
                </c:pt>
                <c:pt idx="1">
                  <c:v>30.415966823322716</c:v>
                </c:pt>
                <c:pt idx="2">
                  <c:v>28.47936601310332</c:v>
                </c:pt>
                <c:pt idx="3">
                  <c:v>28.761429974654281</c:v>
                </c:pt>
                <c:pt idx="4">
                  <c:v>26.252960245302091</c:v>
                </c:pt>
                <c:pt idx="5">
                  <c:v>21.491104538046894</c:v>
                </c:pt>
                <c:pt idx="6">
                  <c:v>18.621909371785566</c:v>
                </c:pt>
                <c:pt idx="7">
                  <c:v>9.886750354248889</c:v>
                </c:pt>
                <c:pt idx="8">
                  <c:v>16.633062367429623</c:v>
                </c:pt>
                <c:pt idx="9">
                  <c:v>31.027870999852304</c:v>
                </c:pt>
                <c:pt idx="10">
                  <c:v>31.369236846457255</c:v>
                </c:pt>
                <c:pt idx="11">
                  <c:v>36.868499486174677</c:v>
                </c:pt>
                <c:pt idx="12">
                  <c:v>37.056259768716124</c:v>
                </c:pt>
                <c:pt idx="13">
                  <c:v>31.900796598272823</c:v>
                </c:pt>
                <c:pt idx="14">
                  <c:v>31.913565202867684</c:v>
                </c:pt>
                <c:pt idx="15">
                  <c:v>35.366332001772612</c:v>
                </c:pt>
                <c:pt idx="16">
                  <c:v>32.633348410361506</c:v>
                </c:pt>
                <c:pt idx="17">
                  <c:v>25.226091243069583</c:v>
                </c:pt>
                <c:pt idx="18">
                  <c:v>30.666862599077383</c:v>
                </c:pt>
                <c:pt idx="19">
                  <c:v>31.868662103950658</c:v>
                </c:pt>
                <c:pt idx="20">
                  <c:v>21.590255360179757</c:v>
                </c:pt>
                <c:pt idx="21">
                  <c:v>19.208905725832722</c:v>
                </c:pt>
              </c:numCache>
            </c:numRef>
          </c:val>
          <c:smooth val="0"/>
          <c:extLst>
            <c:ext xmlns:c16="http://schemas.microsoft.com/office/drawing/2014/chart" uri="{C3380CC4-5D6E-409C-BE32-E72D297353CC}">
              <c16:uniqueId val="{00000001-ED12-4304-B82B-14518923D094}"/>
            </c:ext>
          </c:extLst>
        </c:ser>
        <c:ser>
          <c:idx val="2"/>
          <c:order val="2"/>
          <c:tx>
            <c:strRef>
              <c:f>'5.'!$D$7</c:f>
              <c:strCache>
                <c:ptCount val="1"/>
                <c:pt idx="0">
                  <c:v>Sparbanker</c:v>
                </c:pt>
              </c:strCache>
            </c:strRef>
          </c:tx>
          <c:spPr>
            <a:ln w="38100" cap="rnd">
              <a:solidFill>
                <a:srgbClr val="98BF0C"/>
              </a:solidFill>
              <a:prstDash val="solid"/>
              <a:round/>
            </a:ln>
            <a:effectLst/>
          </c:spPr>
          <c:marker>
            <c:symbol val="none"/>
          </c:marker>
          <c:cat>
            <c:numRef>
              <c:f>'5.'!$A$8:$A$29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'5.'!$D$8:$D$29</c:f>
              <c:numCache>
                <c:formatCode>0</c:formatCode>
                <c:ptCount val="22"/>
                <c:pt idx="0">
                  <c:v>4.557641470815792</c:v>
                </c:pt>
                <c:pt idx="1">
                  <c:v>5.2537268283853962</c:v>
                </c:pt>
                <c:pt idx="2">
                  <c:v>6.3738718976757172</c:v>
                </c:pt>
                <c:pt idx="3">
                  <c:v>9.2692519351080094</c:v>
                </c:pt>
                <c:pt idx="4">
                  <c:v>10.195432254078906</c:v>
                </c:pt>
                <c:pt idx="5">
                  <c:v>12.056912627722808</c:v>
                </c:pt>
                <c:pt idx="6">
                  <c:v>11.60298631613624</c:v>
                </c:pt>
                <c:pt idx="7">
                  <c:v>9.1593272370526879</c:v>
                </c:pt>
                <c:pt idx="8">
                  <c:v>8.1945192994395324</c:v>
                </c:pt>
                <c:pt idx="9">
                  <c:v>6.8142137004214991</c:v>
                </c:pt>
                <c:pt idx="10">
                  <c:v>4.9665872928912602</c:v>
                </c:pt>
                <c:pt idx="11">
                  <c:v>6.4931567167162072</c:v>
                </c:pt>
                <c:pt idx="12">
                  <c:v>6.0272611624313823</c:v>
                </c:pt>
                <c:pt idx="13">
                  <c:v>4.9054323876731649</c:v>
                </c:pt>
                <c:pt idx="14">
                  <c:v>4.3183545067467577</c:v>
                </c:pt>
                <c:pt idx="15">
                  <c:v>4.2496109420617021</c:v>
                </c:pt>
                <c:pt idx="16">
                  <c:v>3.0915132009110504</c:v>
                </c:pt>
                <c:pt idx="17">
                  <c:v>3.0198560471421261</c:v>
                </c:pt>
                <c:pt idx="18">
                  <c:v>6.0244816517026472</c:v>
                </c:pt>
                <c:pt idx="19">
                  <c:v>11.805259520449429</c:v>
                </c:pt>
                <c:pt idx="20">
                  <c:v>16.113728441061742</c:v>
                </c:pt>
                <c:pt idx="21">
                  <c:v>14.064793412800949</c:v>
                </c:pt>
              </c:numCache>
            </c:numRef>
          </c:val>
          <c:smooth val="0"/>
          <c:extLst>
            <c:ext xmlns:c16="http://schemas.microsoft.com/office/drawing/2014/chart" uri="{C3380CC4-5D6E-409C-BE32-E72D297353CC}">
              <c16:uniqueId val="{00000002-ED12-4304-B82B-14518923D094}"/>
            </c:ext>
          </c:extLst>
        </c:ser>
        <c:ser>
          <c:idx val="3"/>
          <c:order val="3"/>
          <c:tx>
            <c:strRef>
              <c:f>'5.'!$E$7</c:f>
              <c:strCache>
                <c:ptCount val="1"/>
                <c:pt idx="0">
                  <c:v>Bostadskreditinstitut</c:v>
                </c:pt>
              </c:strCache>
            </c:strRef>
          </c:tx>
          <c:spPr>
            <a:ln w="38100" cap="sq">
              <a:solidFill>
                <a:srgbClr val="F0B600"/>
              </a:solidFill>
              <a:prstDash val="solid"/>
              <a:round/>
            </a:ln>
            <a:effectLst/>
          </c:spPr>
          <c:marker>
            <c:symbol val="none"/>
          </c:marker>
          <c:cat>
            <c:numRef>
              <c:f>'5.'!$A$8:$A$29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'5.'!$E$8:$E$29</c:f>
              <c:numCache>
                <c:formatCode>0</c:formatCode>
                <c:ptCount val="22"/>
                <c:pt idx="12">
                  <c:v>4.4249151021003987</c:v>
                </c:pt>
                <c:pt idx="13">
                  <c:v>6.8804009706920146</c:v>
                </c:pt>
                <c:pt idx="14">
                  <c:v>4.3614943354013933</c:v>
                </c:pt>
                <c:pt idx="15">
                  <c:v>4.7290044609757516</c:v>
                </c:pt>
                <c:pt idx="16">
                  <c:v>8.3296726397915251</c:v>
                </c:pt>
                <c:pt idx="17">
                  <c:v>6.9119466888205032</c:v>
                </c:pt>
                <c:pt idx="18">
                  <c:v>5.216147662688301</c:v>
                </c:pt>
                <c:pt idx="19">
                  <c:v>5.6738482084316715</c:v>
                </c:pt>
                <c:pt idx="20">
                  <c:v>4.0670443541491235</c:v>
                </c:pt>
                <c:pt idx="21">
                  <c:v>4.2643121852099499</c:v>
                </c:pt>
              </c:numCache>
            </c:numRef>
          </c:val>
          <c:smooth val="0"/>
          <c:extLst>
            <c:ext xmlns:c16="http://schemas.microsoft.com/office/drawing/2014/chart" uri="{C3380CC4-5D6E-409C-BE32-E72D297353CC}">
              <c16:uniqueId val="{00000003-ED12-4304-B82B-14518923D094}"/>
            </c:ext>
          </c:extLst>
        </c:ser>
        <c:ser>
          <c:idx val="4"/>
          <c:order val="4"/>
          <c:tx>
            <c:strRef>
              <c:f>'5.'!$F$7</c:f>
              <c:strCache>
                <c:ptCount val="1"/>
                <c:pt idx="0">
                  <c:v>Utländska banker</c:v>
                </c:pt>
              </c:strCache>
            </c:strRef>
          </c:tx>
          <c:spPr>
            <a:ln w="38100" cap="sq">
              <a:solidFill>
                <a:srgbClr val="A05599"/>
              </a:solidFill>
              <a:round/>
            </a:ln>
            <a:effectLst/>
          </c:spPr>
          <c:marker>
            <c:symbol val="none"/>
          </c:marker>
          <c:cat>
            <c:numRef>
              <c:f>'5.'!$A$8:$A$29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'5.'!$F$8:$F$29</c:f>
              <c:numCache>
                <c:formatCode>0</c:formatCode>
                <c:ptCount val="22"/>
                <c:pt idx="0">
                  <c:v>20.400140393019655</c:v>
                </c:pt>
                <c:pt idx="1">
                  <c:v>13.651151084529015</c:v>
                </c:pt>
                <c:pt idx="2">
                  <c:v>12.532246310142622</c:v>
                </c:pt>
                <c:pt idx="3">
                  <c:v>17.398681459332717</c:v>
                </c:pt>
                <c:pt idx="4">
                  <c:v>19.106366137692625</c:v>
                </c:pt>
                <c:pt idx="5">
                  <c:v>17.620006338145718</c:v>
                </c:pt>
                <c:pt idx="6">
                  <c:v>18.678333218926255</c:v>
                </c:pt>
                <c:pt idx="7">
                  <c:v>21.026259128292459</c:v>
                </c:pt>
                <c:pt idx="8">
                  <c:v>18.447426395615953</c:v>
                </c:pt>
                <c:pt idx="9">
                  <c:v>14.883219535634012</c:v>
                </c:pt>
                <c:pt idx="10">
                  <c:v>13.145523879920701</c:v>
                </c:pt>
                <c:pt idx="11">
                  <c:v>6.9813455112508986</c:v>
                </c:pt>
                <c:pt idx="12">
                  <c:v>2.8640829910156991</c:v>
                </c:pt>
                <c:pt idx="13">
                  <c:v>7.4940434701023486</c:v>
                </c:pt>
                <c:pt idx="14">
                  <c:v>13.074662572868965</c:v>
                </c:pt>
                <c:pt idx="15">
                  <c:v>12.083298370556212</c:v>
                </c:pt>
                <c:pt idx="16">
                  <c:v>12.767339699191146</c:v>
                </c:pt>
                <c:pt idx="17">
                  <c:v>12.379402709406385</c:v>
                </c:pt>
                <c:pt idx="18">
                  <c:v>14.843233532753905</c:v>
                </c:pt>
                <c:pt idx="19">
                  <c:v>19.122711201096802</c:v>
                </c:pt>
                <c:pt idx="20">
                  <c:v>16.463249978887298</c:v>
                </c:pt>
                <c:pt idx="21">
                  <c:v>18.775199265396978</c:v>
                </c:pt>
              </c:numCache>
            </c:numRef>
          </c:val>
          <c:smooth val="0"/>
          <c:extLst>
            <c:ext xmlns:c16="http://schemas.microsoft.com/office/drawing/2014/chart" uri="{C3380CC4-5D6E-409C-BE32-E72D297353CC}">
              <c16:uniqueId val="{00000004-ED12-4304-B82B-14518923D094}"/>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1282061203589773E-2"/>
          <c:y val="6.0319925928922317E-2"/>
          <c:w val="0.94310906193078325"/>
          <c:h val="0.75353124999999999"/>
        </c:manualLayout>
      </c:layout>
      <c:lineChart>
        <c:grouping val="standard"/>
        <c:varyColors val="0"/>
        <c:ser>
          <c:idx val="0"/>
          <c:order val="0"/>
          <c:tx>
            <c:strRef>
              <c:f>'6.'!$B$7</c:f>
              <c:strCache>
                <c:ptCount val="1"/>
                <c:pt idx="0">
                  <c:v>Total</c:v>
                </c:pt>
              </c:strCache>
            </c:strRef>
          </c:tx>
          <c:spPr>
            <a:ln w="38100" cap="sq">
              <a:solidFill>
                <a:srgbClr val="98BF0C"/>
              </a:solidFill>
              <a:prstDash val="solid"/>
              <a:round/>
            </a:ln>
            <a:effectLst/>
          </c:spPr>
          <c:marker>
            <c:symbol val="none"/>
          </c:marker>
          <c:cat>
            <c:numRef>
              <c:f>'6.'!$A$8:$A$29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'6.'!$B$8:$B$29</c:f>
              <c:numCache>
                <c:formatCode>#,##0</c:formatCode>
                <c:ptCount val="22"/>
                <c:pt idx="0">
                  <c:v>6624.4529502780006</c:v>
                </c:pt>
                <c:pt idx="1">
                  <c:v>6445.2935142139995</c:v>
                </c:pt>
                <c:pt idx="2">
                  <c:v>6652.5052238669996</c:v>
                </c:pt>
                <c:pt idx="3">
                  <c:v>6344.8045711209998</c:v>
                </c:pt>
                <c:pt idx="4">
                  <c:v>6673.3954570919996</c:v>
                </c:pt>
                <c:pt idx="5">
                  <c:v>6939.7991628270001</c:v>
                </c:pt>
                <c:pt idx="6">
                  <c:v>6962.6365414089996</c:v>
                </c:pt>
                <c:pt idx="7">
                  <c:v>6752.4770430509998</c:v>
                </c:pt>
                <c:pt idx="8">
                  <c:v>7217.6632122319998</c:v>
                </c:pt>
                <c:pt idx="9">
                  <c:v>7149.9924923100007</c:v>
                </c:pt>
                <c:pt idx="10">
                  <c:v>7280.2358264680006</c:v>
                </c:pt>
                <c:pt idx="11">
                  <c:v>7058.2830476879999</c:v>
                </c:pt>
                <c:pt idx="12">
                  <c:v>7472.8138703079994</c:v>
                </c:pt>
                <c:pt idx="13">
                  <c:v>7862.4110740100004</c:v>
                </c:pt>
                <c:pt idx="14">
                  <c:v>7734.5371551130002</c:v>
                </c:pt>
                <c:pt idx="15">
                  <c:v>7604.8455419299989</c:v>
                </c:pt>
                <c:pt idx="16">
                  <c:v>8026.4816446780005</c:v>
                </c:pt>
                <c:pt idx="17">
                  <c:v>8120.4437983380003</c:v>
                </c:pt>
                <c:pt idx="18">
                  <c:v>8347.4828333019996</c:v>
                </c:pt>
                <c:pt idx="19">
                  <c:v>8172.6477065539993</c:v>
                </c:pt>
                <c:pt idx="20">
                  <c:v>8780.2264941729991</c:v>
                </c:pt>
                <c:pt idx="21">
                  <c:v>8722.4839510230013</c:v>
                </c:pt>
              </c:numCache>
            </c:numRef>
          </c:val>
          <c:smooth val="0"/>
          <c:extLst>
            <c:ext xmlns:c16="http://schemas.microsoft.com/office/drawing/2014/chart" uri="{C3380CC4-5D6E-409C-BE32-E72D297353CC}">
              <c16:uniqueId val="{00000000-5543-409D-8B87-7C251199164D}"/>
            </c:ext>
          </c:extLst>
        </c:ser>
        <c:ser>
          <c:idx val="1"/>
          <c:order val="1"/>
          <c:tx>
            <c:strRef>
              <c:f>'6.'!$C$7</c:f>
              <c:strCache>
                <c:ptCount val="1"/>
                <c:pt idx="0">
                  <c:v>Marknadsupplåning</c:v>
                </c:pt>
              </c:strCache>
            </c:strRef>
          </c:tx>
          <c:spPr>
            <a:ln w="38100" cap="sq">
              <a:solidFill>
                <a:srgbClr val="4DAEC3"/>
              </a:solidFill>
              <a:prstDash val="solid"/>
              <a:round/>
            </a:ln>
            <a:effectLst/>
          </c:spPr>
          <c:marker>
            <c:symbol val="none"/>
          </c:marker>
          <c:cat>
            <c:numRef>
              <c:f>'6.'!$A$8:$A$29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'6.'!$C$8:$C$29</c:f>
              <c:numCache>
                <c:formatCode>#,##0</c:formatCode>
                <c:ptCount val="22"/>
                <c:pt idx="0">
                  <c:v>3799.3565619999999</c:v>
                </c:pt>
                <c:pt idx="1">
                  <c:v>3767.5786309999999</c:v>
                </c:pt>
                <c:pt idx="2">
                  <c:v>3938.5416712000001</c:v>
                </c:pt>
                <c:pt idx="3">
                  <c:v>3693.80450991</c:v>
                </c:pt>
                <c:pt idx="4">
                  <c:v>3822.93277137</c:v>
                </c:pt>
                <c:pt idx="5">
                  <c:v>3947.3706797700002</c:v>
                </c:pt>
                <c:pt idx="6">
                  <c:v>3964.40023569</c:v>
                </c:pt>
                <c:pt idx="7">
                  <c:v>3845.2224599900001</c:v>
                </c:pt>
                <c:pt idx="8">
                  <c:v>4108.2958836999996</c:v>
                </c:pt>
                <c:pt idx="9">
                  <c:v>3931.88549951</c:v>
                </c:pt>
                <c:pt idx="10">
                  <c:v>3999.53704272</c:v>
                </c:pt>
                <c:pt idx="11">
                  <c:v>3854.7263612299998</c:v>
                </c:pt>
                <c:pt idx="12">
                  <c:v>4110.6600644399996</c:v>
                </c:pt>
                <c:pt idx="13">
                  <c:v>4399.4840963500001</c:v>
                </c:pt>
                <c:pt idx="14">
                  <c:v>4270.79563263</c:v>
                </c:pt>
                <c:pt idx="15">
                  <c:v>4133.3223842999996</c:v>
                </c:pt>
                <c:pt idx="16">
                  <c:v>4448.4451563800003</c:v>
                </c:pt>
                <c:pt idx="17">
                  <c:v>4466.1019323500004</c:v>
                </c:pt>
                <c:pt idx="18">
                  <c:v>4595.7926602699999</c:v>
                </c:pt>
                <c:pt idx="19">
                  <c:v>4467.1029817299996</c:v>
                </c:pt>
                <c:pt idx="20">
                  <c:v>4777.7389684999998</c:v>
                </c:pt>
                <c:pt idx="21">
                  <c:v>4540.9312854700001</c:v>
                </c:pt>
              </c:numCache>
            </c:numRef>
          </c:val>
          <c:smooth val="0"/>
          <c:extLst>
            <c:ext xmlns:c16="http://schemas.microsoft.com/office/drawing/2014/chart" uri="{C3380CC4-5D6E-409C-BE32-E72D297353CC}">
              <c16:uniqueId val="{00000001-5543-409D-8B87-7C251199164D}"/>
            </c:ext>
          </c:extLst>
        </c:ser>
        <c:ser>
          <c:idx val="2"/>
          <c:order val="2"/>
          <c:tx>
            <c:strRef>
              <c:f>'6.'!$D$7</c:f>
              <c:strCache>
                <c:ptCount val="1"/>
                <c:pt idx="0">
                  <c:v>Inlåning</c:v>
                </c:pt>
              </c:strCache>
            </c:strRef>
          </c:tx>
          <c:spPr>
            <a:ln w="38100" cap="rnd">
              <a:solidFill>
                <a:srgbClr val="E64848"/>
              </a:solidFill>
              <a:prstDash val="solid"/>
              <a:round/>
            </a:ln>
            <a:effectLst/>
          </c:spPr>
          <c:marker>
            <c:symbol val="none"/>
          </c:marker>
          <c:cat>
            <c:numRef>
              <c:f>'6.'!$A$8:$A$29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'6.'!$D$8:$D$29</c:f>
              <c:numCache>
                <c:formatCode>#,##0</c:formatCode>
                <c:ptCount val="22"/>
                <c:pt idx="0">
                  <c:v>2825.0963882780002</c:v>
                </c:pt>
                <c:pt idx="1">
                  <c:v>2677.7148832140001</c:v>
                </c:pt>
                <c:pt idx="2">
                  <c:v>2713.9635526669999</c:v>
                </c:pt>
                <c:pt idx="3">
                  <c:v>2651.0000612109998</c:v>
                </c:pt>
                <c:pt idx="4">
                  <c:v>2850.4626857220001</c:v>
                </c:pt>
                <c:pt idx="5">
                  <c:v>2992.428483057</c:v>
                </c:pt>
                <c:pt idx="6">
                  <c:v>2998.236305719</c:v>
                </c:pt>
                <c:pt idx="7">
                  <c:v>2907.2545830610002</c:v>
                </c:pt>
                <c:pt idx="8">
                  <c:v>3109.3673285320001</c:v>
                </c:pt>
                <c:pt idx="9">
                  <c:v>3218.1069928000002</c:v>
                </c:pt>
                <c:pt idx="10">
                  <c:v>3280.6987837480001</c:v>
                </c:pt>
                <c:pt idx="11">
                  <c:v>3203.5566864580001</c:v>
                </c:pt>
                <c:pt idx="12">
                  <c:v>3362.1538058679998</c:v>
                </c:pt>
                <c:pt idx="13">
                  <c:v>3462.9269776599999</c:v>
                </c:pt>
                <c:pt idx="14">
                  <c:v>3463.7415224830002</c:v>
                </c:pt>
                <c:pt idx="15">
                  <c:v>3471.5231576299998</c:v>
                </c:pt>
                <c:pt idx="16">
                  <c:v>3578.0364882980002</c:v>
                </c:pt>
                <c:pt idx="17">
                  <c:v>3654.3418659879999</c:v>
                </c:pt>
                <c:pt idx="18">
                  <c:v>3751.6901730320001</c:v>
                </c:pt>
                <c:pt idx="19">
                  <c:v>3705.5447248239998</c:v>
                </c:pt>
                <c:pt idx="20">
                  <c:v>4002.4875256730002</c:v>
                </c:pt>
                <c:pt idx="21">
                  <c:v>4181.5526655530002</c:v>
                </c:pt>
              </c:numCache>
            </c:numRef>
          </c:val>
          <c:smooth val="0"/>
          <c:extLst>
            <c:ext xmlns:c16="http://schemas.microsoft.com/office/drawing/2014/chart" uri="{C3380CC4-5D6E-409C-BE32-E72D297353CC}">
              <c16:uniqueId val="{00000002-5543-409D-8B87-7C251199164D}"/>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0.12425356030176131"/>
          <c:y val="0.90968749592584386"/>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1926215975185193E-2"/>
          <c:y val="7.5773481263227416E-2"/>
          <c:w val="0.94310906193078325"/>
          <c:h val="0.72483179710485035"/>
        </c:manualLayout>
      </c:layout>
      <c:lineChart>
        <c:grouping val="standard"/>
        <c:varyColors val="0"/>
        <c:ser>
          <c:idx val="0"/>
          <c:order val="0"/>
          <c:tx>
            <c:strRef>
              <c:f>'7.'!$B$7</c:f>
              <c:strCache>
                <c:ptCount val="1"/>
                <c:pt idx="0">
                  <c:v>Svenska bolån</c:v>
                </c:pt>
              </c:strCache>
            </c:strRef>
          </c:tx>
          <c:spPr>
            <a:ln w="38100" cap="sq">
              <a:solidFill>
                <a:srgbClr val="4DAEC3"/>
              </a:solidFill>
              <a:prstDash val="solid"/>
              <a:round/>
            </a:ln>
            <a:effectLst/>
          </c:spPr>
          <c:marker>
            <c:symbol val="none"/>
          </c:marker>
          <c:cat>
            <c:numRef>
              <c:f>'7.'!$A$8:$A$29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'7.'!$B$8:$B$29</c:f>
              <c:numCache>
                <c:formatCode>#,##0</c:formatCode>
                <c:ptCount val="22"/>
                <c:pt idx="0">
                  <c:v>2596.9101477600002</c:v>
                </c:pt>
                <c:pt idx="1">
                  <c:v>2674.8734601073352</c:v>
                </c:pt>
                <c:pt idx="2">
                  <c:v>2795.5439915949032</c:v>
                </c:pt>
                <c:pt idx="3">
                  <c:v>2787.4796943544179</c:v>
                </c:pt>
                <c:pt idx="4">
                  <c:v>2833.4203637787605</c:v>
                </c:pt>
                <c:pt idx="5">
                  <c:v>2902.8939547680161</c:v>
                </c:pt>
                <c:pt idx="6">
                  <c:v>2946.032124975347</c:v>
                </c:pt>
                <c:pt idx="7">
                  <c:v>2996.0298753353109</c:v>
                </c:pt>
                <c:pt idx="8">
                  <c:v>3041.7853190588203</c:v>
                </c:pt>
                <c:pt idx="9">
                  <c:v>3101.2490449007814</c:v>
                </c:pt>
                <c:pt idx="10">
                  <c:v>3152.446561112627</c:v>
                </c:pt>
                <c:pt idx="11">
                  <c:v>3207.1598609187549</c:v>
                </c:pt>
                <c:pt idx="12">
                  <c:v>3251.12230721692</c:v>
                </c:pt>
                <c:pt idx="13">
                  <c:v>3296.1162717149296</c:v>
                </c:pt>
                <c:pt idx="14">
                  <c:v>3330.4924314825498</c:v>
                </c:pt>
                <c:pt idx="15">
                  <c:v>3377.1478134416698</c:v>
                </c:pt>
                <c:pt idx="16">
                  <c:v>3410.3031321899302</c:v>
                </c:pt>
                <c:pt idx="17">
                  <c:v>3473.81606671798</c:v>
                </c:pt>
                <c:pt idx="18">
                  <c:v>3495.9099577153283</c:v>
                </c:pt>
                <c:pt idx="19">
                  <c:v>3546.4612790883302</c:v>
                </c:pt>
                <c:pt idx="20">
                  <c:v>3594.26369034032</c:v>
                </c:pt>
                <c:pt idx="21">
                  <c:v>3650.05177440647</c:v>
                </c:pt>
              </c:numCache>
            </c:numRef>
          </c:val>
          <c:smooth val="0"/>
          <c:extLst>
            <c:ext xmlns:c16="http://schemas.microsoft.com/office/drawing/2014/chart" uri="{C3380CC4-5D6E-409C-BE32-E72D297353CC}">
              <c16:uniqueId val="{00000000-573A-4925-AED4-B802E3800460}"/>
            </c:ext>
          </c:extLst>
        </c:ser>
        <c:ser>
          <c:idx val="1"/>
          <c:order val="1"/>
          <c:tx>
            <c:strRef>
              <c:f>'7.'!$C$7</c:f>
              <c:strCache>
                <c:ptCount val="1"/>
                <c:pt idx="0">
                  <c:v>Säkerställda obligationer i SEK</c:v>
                </c:pt>
              </c:strCache>
            </c:strRef>
          </c:tx>
          <c:spPr>
            <a:ln w="38100" cap="sq">
              <a:solidFill>
                <a:srgbClr val="E64848"/>
              </a:solidFill>
              <a:prstDash val="solid"/>
              <a:round/>
            </a:ln>
            <a:effectLst/>
          </c:spPr>
          <c:marker>
            <c:symbol val="none"/>
          </c:marker>
          <c:cat>
            <c:numRef>
              <c:f>'7.'!$A$8:$A$29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'7.'!$C$8:$C$29</c:f>
              <c:numCache>
                <c:formatCode>#,##0</c:formatCode>
                <c:ptCount val="22"/>
                <c:pt idx="0">
                  <c:v>1564.175</c:v>
                </c:pt>
                <c:pt idx="1">
                  <c:v>1546.886</c:v>
                </c:pt>
                <c:pt idx="2">
                  <c:v>1579.9469999999999</c:v>
                </c:pt>
                <c:pt idx="3">
                  <c:v>1593.1110000000001</c:v>
                </c:pt>
                <c:pt idx="4">
                  <c:v>1689.5050000000001</c:v>
                </c:pt>
                <c:pt idx="5">
                  <c:v>1642.337</c:v>
                </c:pt>
                <c:pt idx="6">
                  <c:v>1644.2750000000001</c:v>
                </c:pt>
                <c:pt idx="7">
                  <c:v>1665.2860000000001</c:v>
                </c:pt>
                <c:pt idx="8">
                  <c:v>1703.72</c:v>
                </c:pt>
                <c:pt idx="9">
                  <c:v>1639.5909999999999</c:v>
                </c:pt>
                <c:pt idx="10">
                  <c:v>1704.98</c:v>
                </c:pt>
                <c:pt idx="11">
                  <c:v>1706.8219999999999</c:v>
                </c:pt>
                <c:pt idx="12">
                  <c:v>1741.5730000000001</c:v>
                </c:pt>
                <c:pt idx="13">
                  <c:v>1769.778</c:v>
                </c:pt>
                <c:pt idx="14">
                  <c:v>1755.4010000000001</c:v>
                </c:pt>
                <c:pt idx="15">
                  <c:v>1734.3140000000001</c:v>
                </c:pt>
                <c:pt idx="16">
                  <c:v>1833.0060000000001</c:v>
                </c:pt>
                <c:pt idx="17">
                  <c:v>1865.229</c:v>
                </c:pt>
                <c:pt idx="18">
                  <c:v>1876.2190000000001</c:v>
                </c:pt>
                <c:pt idx="19">
                  <c:v>1912.7539999999999</c:v>
                </c:pt>
                <c:pt idx="20">
                  <c:v>2009.5</c:v>
                </c:pt>
                <c:pt idx="21">
                  <c:v>1961</c:v>
                </c:pt>
              </c:numCache>
            </c:numRef>
          </c:val>
          <c:smooth val="0"/>
          <c:extLst>
            <c:ext xmlns:c16="http://schemas.microsoft.com/office/drawing/2014/chart" uri="{C3380CC4-5D6E-409C-BE32-E72D297353CC}">
              <c16:uniqueId val="{00000001-573A-4925-AED4-B802E3800460}"/>
            </c:ext>
          </c:extLst>
        </c:ser>
        <c:ser>
          <c:idx val="2"/>
          <c:order val="2"/>
          <c:tx>
            <c:strRef>
              <c:f>'7.'!$D$7</c:f>
              <c:strCache>
                <c:ptCount val="1"/>
              </c:strCache>
            </c:strRef>
          </c:tx>
          <c:spPr>
            <a:ln w="28575" cap="rnd">
              <a:solidFill>
                <a:schemeClr val="accent3"/>
              </a:solidFill>
              <a:round/>
            </a:ln>
            <a:effectLst/>
          </c:spPr>
          <c:marker>
            <c:symbol val="none"/>
          </c:marker>
          <c:cat>
            <c:numRef>
              <c:f>'7.'!$A$8:$A$29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'7.'!$D$8:$D$29</c:f>
              <c:numCache>
                <c:formatCode>#,##0</c:formatCode>
                <c:ptCount val="22"/>
              </c:numCache>
            </c:numRef>
          </c:val>
          <c:smooth val="0"/>
          <c:extLst xmlns:c15="http://schemas.microsoft.com/office/drawing/2012/chart">
            <c:ext xmlns:c16="http://schemas.microsoft.com/office/drawing/2014/chart" uri="{C3380CC4-5D6E-409C-BE32-E72D297353CC}">
              <c16:uniqueId val="{00000002-573A-4925-AED4-B802E3800460}"/>
            </c:ext>
          </c:extLst>
        </c:ser>
        <c:ser>
          <c:idx val="3"/>
          <c:order val="3"/>
          <c:tx>
            <c:strRef>
              <c:f>'7.'!$E$7</c:f>
              <c:strCache>
                <c:ptCount val="1"/>
              </c:strCache>
            </c:strRef>
          </c:tx>
          <c:spPr>
            <a:ln w="28575" cap="rnd">
              <a:solidFill>
                <a:schemeClr val="accent4"/>
              </a:solidFill>
              <a:round/>
            </a:ln>
            <a:effectLst/>
          </c:spPr>
          <c:marker>
            <c:symbol val="none"/>
          </c:marker>
          <c:cat>
            <c:numRef>
              <c:f>'7.'!$A$8:$A$29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'7.'!$E$8:$E$29</c:f>
              <c:numCache>
                <c:formatCode>#,##0</c:formatCode>
                <c:ptCount val="22"/>
              </c:numCache>
            </c:numRef>
          </c:val>
          <c:smooth val="0"/>
          <c:extLst xmlns:c15="http://schemas.microsoft.com/office/drawing/2012/chart">
            <c:ext xmlns:c16="http://schemas.microsoft.com/office/drawing/2014/chart" uri="{C3380CC4-5D6E-409C-BE32-E72D297353CC}">
              <c16:uniqueId val="{00000003-573A-4925-AED4-B802E3800460}"/>
            </c:ext>
          </c:extLst>
        </c:ser>
        <c:dLbls>
          <c:showLegendKey val="0"/>
          <c:showVal val="0"/>
          <c:showCatName val="0"/>
          <c:showSerName val="0"/>
          <c:showPercent val="0"/>
          <c:showBubbleSize val="0"/>
        </c:dLbls>
        <c:smooth val="0"/>
        <c:axId val="517726632"/>
        <c:axId val="517737456"/>
        <c:extLst/>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egendEntry>
        <c:idx val="2"/>
        <c:delete val="1"/>
      </c:legendEntry>
      <c:legendEntry>
        <c:idx val="3"/>
        <c:delete val="1"/>
      </c:legendEntry>
      <c:layout>
        <c:manualLayout>
          <c:xMode val="edge"/>
          <c:yMode val="edge"/>
          <c:x val="0.14461232056452136"/>
          <c:y val="0.87787770143714505"/>
          <c:w val="0.77681635115142922"/>
          <c:h val="0.11108405147125927"/>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8686333465412179E-2"/>
          <c:y val="6.6719916010498689E-2"/>
          <c:w val="0.94310906193078325"/>
          <c:h val="0.76216071391076101"/>
        </c:manualLayout>
      </c:layout>
      <c:lineChart>
        <c:grouping val="standard"/>
        <c:varyColors val="0"/>
        <c:ser>
          <c:idx val="1"/>
          <c:order val="0"/>
          <c:tx>
            <c:strRef>
              <c:f>'8.'!$C$7</c:f>
              <c:strCache>
                <c:ptCount val="1"/>
                <c:pt idx="0">
                  <c:v>Avkastning på eget kapital, glidande medelvärde</c:v>
                </c:pt>
              </c:strCache>
            </c:strRef>
          </c:tx>
          <c:spPr>
            <a:ln w="38100" cap="rnd">
              <a:solidFill>
                <a:srgbClr val="4DAEC3"/>
              </a:solidFill>
              <a:prstDash val="dash"/>
              <a:round/>
            </a:ln>
            <a:effectLst/>
          </c:spPr>
          <c:marker>
            <c:symbol val="none"/>
          </c:marker>
          <c:cat>
            <c:numRef>
              <c:f>'8.'!$A$8:$A$29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'8.'!$C$8:$C$29</c:f>
              <c:numCache>
                <c:formatCode>0</c:formatCode>
                <c:ptCount val="22"/>
                <c:pt idx="0">
                  <c:v>12.894142786082451</c:v>
                </c:pt>
                <c:pt idx="1">
                  <c:v>12.456016794230193</c:v>
                </c:pt>
                <c:pt idx="2">
                  <c:v>12.030258741543829</c:v>
                </c:pt>
                <c:pt idx="3">
                  <c:v>10.999213530421903</c:v>
                </c:pt>
                <c:pt idx="4">
                  <c:v>11.20915997964536</c:v>
                </c:pt>
                <c:pt idx="5">
                  <c:v>11.467134221478842</c:v>
                </c:pt>
                <c:pt idx="6">
                  <c:v>11.594395897437906</c:v>
                </c:pt>
                <c:pt idx="7">
                  <c:v>12.672710312815333</c:v>
                </c:pt>
                <c:pt idx="8">
                  <c:v>12.598549114697979</c:v>
                </c:pt>
                <c:pt idx="9">
                  <c:v>12.471055406906334</c:v>
                </c:pt>
                <c:pt idx="10">
                  <c:v>12.361357968495849</c:v>
                </c:pt>
                <c:pt idx="11">
                  <c:v>12.135230153792671</c:v>
                </c:pt>
                <c:pt idx="12">
                  <c:v>12.505285166613621</c:v>
                </c:pt>
                <c:pt idx="13">
                  <c:v>12.735625112576926</c:v>
                </c:pt>
                <c:pt idx="14">
                  <c:v>12.942802635998914</c:v>
                </c:pt>
                <c:pt idx="15">
                  <c:v>13.124969719534189</c:v>
                </c:pt>
                <c:pt idx="16">
                  <c:v>12.721350333072486</c:v>
                </c:pt>
                <c:pt idx="17">
                  <c:v>12.367164207000451</c:v>
                </c:pt>
                <c:pt idx="18">
                  <c:v>12.078382264527326</c:v>
                </c:pt>
                <c:pt idx="19">
                  <c:v>10.306361926502793</c:v>
                </c:pt>
                <c:pt idx="20">
                  <c:v>8.7907015682469698</c:v>
                </c:pt>
                <c:pt idx="21">
                  <c:v>6.4163187857054913</c:v>
                </c:pt>
              </c:numCache>
            </c:numRef>
          </c:val>
          <c:smooth val="0"/>
          <c:extLst>
            <c:ext xmlns:c16="http://schemas.microsoft.com/office/drawing/2014/chart" uri="{C3380CC4-5D6E-409C-BE32-E72D297353CC}">
              <c16:uniqueId val="{00000000-EED3-4233-818B-6857291929D6}"/>
            </c:ext>
          </c:extLst>
        </c:ser>
        <c:ser>
          <c:idx val="0"/>
          <c:order val="1"/>
          <c:tx>
            <c:strRef>
              <c:f>'8.'!$B$7</c:f>
              <c:strCache>
                <c:ptCount val="1"/>
                <c:pt idx="0">
                  <c:v>Avkastning på eget kapital</c:v>
                </c:pt>
              </c:strCache>
            </c:strRef>
          </c:tx>
          <c:spPr>
            <a:ln w="38100" cap="sq">
              <a:solidFill>
                <a:srgbClr val="4DAEC3"/>
              </a:solidFill>
              <a:prstDash val="solid"/>
              <a:round/>
            </a:ln>
            <a:effectLst/>
          </c:spPr>
          <c:marker>
            <c:symbol val="none"/>
          </c:marker>
          <c:cat>
            <c:numRef>
              <c:f>'8.'!$A$8:$A$29</c:f>
              <c:numCache>
                <c:formatCode>mmm\-yy</c:formatCode>
                <c:ptCount val="2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numCache>
            </c:numRef>
          </c:cat>
          <c:val>
            <c:numRef>
              <c:f>'8.'!$B$8:$B$29</c:f>
              <c:numCache>
                <c:formatCode>0</c:formatCode>
                <c:ptCount val="22"/>
                <c:pt idx="0">
                  <c:v>13.489713278420618</c:v>
                </c:pt>
                <c:pt idx="1">
                  <c:v>12.070076708867376</c:v>
                </c:pt>
                <c:pt idx="2">
                  <c:v>11.401637983604969</c:v>
                </c:pt>
                <c:pt idx="3">
                  <c:v>11.159606995282351</c:v>
                </c:pt>
                <c:pt idx="4">
                  <c:v>9.365532433932918</c:v>
                </c:pt>
                <c:pt idx="5">
                  <c:v>12.909862505761199</c:v>
                </c:pt>
                <c:pt idx="6">
                  <c:v>12.433534950938899</c:v>
                </c:pt>
                <c:pt idx="7">
                  <c:v>11.668653699118611</c:v>
                </c:pt>
                <c:pt idx="8">
                  <c:v>13.678790095442622</c:v>
                </c:pt>
                <c:pt idx="9">
                  <c:v>12.613217713291785</c:v>
                </c:pt>
                <c:pt idx="10">
                  <c:v>11.923560119772322</c:v>
                </c:pt>
                <c:pt idx="11">
                  <c:v>11.229863945476664</c:v>
                </c:pt>
                <c:pt idx="12">
                  <c:v>12.774278836629909</c:v>
                </c:pt>
                <c:pt idx="13">
                  <c:v>14.093437764575587</c:v>
                </c:pt>
                <c:pt idx="14">
                  <c:v>12.844919903625545</c:v>
                </c:pt>
                <c:pt idx="15">
                  <c:v>12.05857403916462</c:v>
                </c:pt>
                <c:pt idx="16">
                  <c:v>13.502947170771002</c:v>
                </c:pt>
                <c:pt idx="17">
                  <c:v>12.478960218728776</c:v>
                </c:pt>
                <c:pt idx="18">
                  <c:v>11.428175399337411</c:v>
                </c:pt>
                <c:pt idx="19">
                  <c:v>10.903446269272116</c:v>
                </c:pt>
                <c:pt idx="20">
                  <c:v>6.4148658186728689</c:v>
                </c:pt>
                <c:pt idx="21">
                  <c:v>6.4163187857054913</c:v>
                </c:pt>
              </c:numCache>
            </c:numRef>
          </c:val>
          <c:smooth val="0"/>
          <c:extLst>
            <c:ext xmlns:c16="http://schemas.microsoft.com/office/drawing/2014/chart" uri="{C3380CC4-5D6E-409C-BE32-E72D297353CC}">
              <c16:uniqueId val="{00000001-EED3-4233-818B-6857291929D6}"/>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16"/>
          <c:min val="2"/>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2"/>
      </c:valAx>
      <c:spPr>
        <a:noFill/>
        <a:ln>
          <a:solidFill>
            <a:srgbClr val="A4A4A4"/>
          </a:solidFill>
        </a:ln>
        <a:effectLst/>
      </c:spPr>
    </c:plotArea>
    <c:legend>
      <c:legendPos val="b"/>
      <c:layout>
        <c:manualLayout>
          <c:xMode val="edge"/>
          <c:yMode val="edge"/>
          <c:x val="4.9999974102187587E-2"/>
          <c:y val="0.89032214173228341"/>
          <c:w val="0.89999994820437512"/>
          <c:h val="9.8837669291338581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0518112019857044E-2"/>
          <c:y val="4.986938582454796E-2"/>
          <c:w val="0.94310906193078325"/>
          <c:h val="0.79340156615513668"/>
        </c:manualLayout>
      </c:layout>
      <c:lineChart>
        <c:grouping val="standard"/>
        <c:varyColors val="0"/>
        <c:ser>
          <c:idx val="0"/>
          <c:order val="0"/>
          <c:tx>
            <c:strRef>
              <c:f>'9.'!$B$7</c:f>
              <c:strCache>
                <c:ptCount val="1"/>
                <c:pt idx="0">
                  <c:v>K/I kvot</c:v>
                </c:pt>
              </c:strCache>
            </c:strRef>
          </c:tx>
          <c:spPr>
            <a:ln w="38100" cap="sq">
              <a:solidFill>
                <a:srgbClr val="4DAEC3"/>
              </a:solidFill>
              <a:prstDash val="solid"/>
              <a:round/>
            </a:ln>
            <a:effectLst/>
          </c:spPr>
          <c:marker>
            <c:symbol val="none"/>
          </c:marker>
          <c:cat>
            <c:numRef>
              <c:f>'9.'!$A$7:$A$29</c:f>
              <c:numCache>
                <c:formatCode>mmm\-yy</c:formatCode>
                <c:ptCount val="23"/>
                <c:pt idx="1">
                  <c:v>42094</c:v>
                </c:pt>
                <c:pt idx="2">
                  <c:v>42185</c:v>
                </c:pt>
                <c:pt idx="3">
                  <c:v>42277</c:v>
                </c:pt>
                <c:pt idx="4">
                  <c:v>42369</c:v>
                </c:pt>
                <c:pt idx="5">
                  <c:v>42460</c:v>
                </c:pt>
                <c:pt idx="6">
                  <c:v>42551</c:v>
                </c:pt>
                <c:pt idx="7">
                  <c:v>42643</c:v>
                </c:pt>
                <c:pt idx="8">
                  <c:v>42735</c:v>
                </c:pt>
                <c:pt idx="9">
                  <c:v>42825</c:v>
                </c:pt>
                <c:pt idx="10">
                  <c:v>42916</c:v>
                </c:pt>
                <c:pt idx="11">
                  <c:v>43008</c:v>
                </c:pt>
                <c:pt idx="12">
                  <c:v>43100</c:v>
                </c:pt>
                <c:pt idx="13">
                  <c:v>43190</c:v>
                </c:pt>
                <c:pt idx="14">
                  <c:v>43281</c:v>
                </c:pt>
                <c:pt idx="15">
                  <c:v>43373</c:v>
                </c:pt>
                <c:pt idx="16">
                  <c:v>43465</c:v>
                </c:pt>
                <c:pt idx="17">
                  <c:v>43555</c:v>
                </c:pt>
                <c:pt idx="18">
                  <c:v>43646</c:v>
                </c:pt>
                <c:pt idx="19">
                  <c:v>43738</c:v>
                </c:pt>
                <c:pt idx="20">
                  <c:v>43830</c:v>
                </c:pt>
                <c:pt idx="21">
                  <c:v>43921</c:v>
                </c:pt>
                <c:pt idx="22">
                  <c:v>44012</c:v>
                </c:pt>
              </c:numCache>
            </c:numRef>
          </c:cat>
          <c:val>
            <c:numRef>
              <c:f>'9.'!$B$7:$B$29</c:f>
              <c:numCache>
                <c:formatCode>0</c:formatCode>
                <c:ptCount val="23"/>
                <c:pt idx="0" formatCode="General">
                  <c:v>0</c:v>
                </c:pt>
                <c:pt idx="1">
                  <c:v>49.77387094259727</c:v>
                </c:pt>
                <c:pt idx="2">
                  <c:v>51.44361800911522</c:v>
                </c:pt>
                <c:pt idx="3">
                  <c:v>51.477832234782817</c:v>
                </c:pt>
                <c:pt idx="4">
                  <c:v>51.753814832861508</c:v>
                </c:pt>
                <c:pt idx="5">
                  <c:v>55.848996773916404</c:v>
                </c:pt>
                <c:pt idx="6">
                  <c:v>51.800023652915385</c:v>
                </c:pt>
                <c:pt idx="7">
                  <c:v>51.071300303200331</c:v>
                </c:pt>
                <c:pt idx="8">
                  <c:v>51.336192079008455</c:v>
                </c:pt>
                <c:pt idx="9">
                  <c:v>49.861247020171234</c:v>
                </c:pt>
                <c:pt idx="10">
                  <c:v>50.408583714501873</c:v>
                </c:pt>
                <c:pt idx="11">
                  <c:v>50.003442743375125</c:v>
                </c:pt>
                <c:pt idx="12">
                  <c:v>50.902745633028779</c:v>
                </c:pt>
                <c:pt idx="13">
                  <c:v>50.510686057114754</c:v>
                </c:pt>
                <c:pt idx="14">
                  <c:v>49.216549871731729</c:v>
                </c:pt>
                <c:pt idx="15">
                  <c:v>49.811538859617571</c:v>
                </c:pt>
                <c:pt idx="16">
                  <c:v>51.24918617027879</c:v>
                </c:pt>
                <c:pt idx="17">
                  <c:v>47.040456145932851</c:v>
                </c:pt>
                <c:pt idx="18">
                  <c:v>48.80227470710566</c:v>
                </c:pt>
                <c:pt idx="19">
                  <c:v>50.905229566544996</c:v>
                </c:pt>
                <c:pt idx="20">
                  <c:v>50.90421980520469</c:v>
                </c:pt>
                <c:pt idx="21">
                  <c:v>56.441508187017597</c:v>
                </c:pt>
                <c:pt idx="22">
                  <c:v>54.532470033616235</c:v>
                </c:pt>
              </c:numCache>
            </c:numRef>
          </c:val>
          <c:smooth val="0"/>
          <c:extLst>
            <c:ext xmlns:c16="http://schemas.microsoft.com/office/drawing/2014/chart" uri="{C3380CC4-5D6E-409C-BE32-E72D297353CC}">
              <c16:uniqueId val="{00000000-B3E7-4AF4-8DD9-3E3D874C52DA}"/>
            </c:ext>
          </c:extLst>
        </c:ser>
        <c:ser>
          <c:idx val="1"/>
          <c:order val="1"/>
          <c:tx>
            <c:strRef>
              <c:f>'9.'!$C$7</c:f>
              <c:strCache>
                <c:ptCount val="1"/>
                <c:pt idx="0">
                  <c:v>K/I-kvot, glidande medelvärde</c:v>
                </c:pt>
              </c:strCache>
            </c:strRef>
          </c:tx>
          <c:spPr>
            <a:ln w="38100" cap="rnd">
              <a:solidFill>
                <a:srgbClr val="4DAEC3"/>
              </a:solidFill>
              <a:prstDash val="dash"/>
              <a:round/>
            </a:ln>
            <a:effectLst/>
          </c:spPr>
          <c:marker>
            <c:symbol val="none"/>
          </c:marker>
          <c:cat>
            <c:numRef>
              <c:f>'9.'!$A$7:$A$29</c:f>
              <c:numCache>
                <c:formatCode>mmm\-yy</c:formatCode>
                <c:ptCount val="23"/>
                <c:pt idx="1">
                  <c:v>42094</c:v>
                </c:pt>
                <c:pt idx="2">
                  <c:v>42185</c:v>
                </c:pt>
                <c:pt idx="3">
                  <c:v>42277</c:v>
                </c:pt>
                <c:pt idx="4">
                  <c:v>42369</c:v>
                </c:pt>
                <c:pt idx="5">
                  <c:v>42460</c:v>
                </c:pt>
                <c:pt idx="6">
                  <c:v>42551</c:v>
                </c:pt>
                <c:pt idx="7">
                  <c:v>42643</c:v>
                </c:pt>
                <c:pt idx="8">
                  <c:v>42735</c:v>
                </c:pt>
                <c:pt idx="9">
                  <c:v>42825</c:v>
                </c:pt>
                <c:pt idx="10">
                  <c:v>42916</c:v>
                </c:pt>
                <c:pt idx="11">
                  <c:v>43008</c:v>
                </c:pt>
                <c:pt idx="12">
                  <c:v>43100</c:v>
                </c:pt>
                <c:pt idx="13">
                  <c:v>43190</c:v>
                </c:pt>
                <c:pt idx="14">
                  <c:v>43281</c:v>
                </c:pt>
                <c:pt idx="15">
                  <c:v>43373</c:v>
                </c:pt>
                <c:pt idx="16">
                  <c:v>43465</c:v>
                </c:pt>
                <c:pt idx="17">
                  <c:v>43555</c:v>
                </c:pt>
                <c:pt idx="18">
                  <c:v>43646</c:v>
                </c:pt>
                <c:pt idx="19">
                  <c:v>43738</c:v>
                </c:pt>
                <c:pt idx="20">
                  <c:v>43830</c:v>
                </c:pt>
                <c:pt idx="21">
                  <c:v>43921</c:v>
                </c:pt>
                <c:pt idx="22">
                  <c:v>44012</c:v>
                </c:pt>
              </c:numCache>
            </c:numRef>
          </c:cat>
          <c:val>
            <c:numRef>
              <c:f>'9.'!$C$7:$C$29</c:f>
              <c:numCache>
                <c:formatCode>0</c:formatCode>
                <c:ptCount val="23"/>
                <c:pt idx="0" formatCode="General">
                  <c:v>0</c:v>
                </c:pt>
                <c:pt idx="1">
                  <c:v>50.95874828217989</c:v>
                </c:pt>
                <c:pt idx="2">
                  <c:v>50.198525137506898</c:v>
                </c:pt>
                <c:pt idx="3">
                  <c:v>50.598941425503696</c:v>
                </c:pt>
                <c:pt idx="4">
                  <c:v>51.112284004839204</c:v>
                </c:pt>
                <c:pt idx="5">
                  <c:v>52.631065462668992</c:v>
                </c:pt>
                <c:pt idx="6">
                  <c:v>52.720166873619036</c:v>
                </c:pt>
                <c:pt idx="7">
                  <c:v>52.618533890723405</c:v>
                </c:pt>
                <c:pt idx="8">
                  <c:v>52.514128202260146</c:v>
                </c:pt>
                <c:pt idx="9">
                  <c:v>51.017190763823848</c:v>
                </c:pt>
                <c:pt idx="10">
                  <c:v>50.669330779220466</c:v>
                </c:pt>
                <c:pt idx="11">
                  <c:v>50.402366389264174</c:v>
                </c:pt>
                <c:pt idx="12">
                  <c:v>50.294004777769253</c:v>
                </c:pt>
                <c:pt idx="13">
                  <c:v>50.456364537005129</c:v>
                </c:pt>
                <c:pt idx="14">
                  <c:v>50.158356076312593</c:v>
                </c:pt>
                <c:pt idx="15">
                  <c:v>50.110380105373196</c:v>
                </c:pt>
                <c:pt idx="16">
                  <c:v>50.196990239685711</c:v>
                </c:pt>
                <c:pt idx="17">
                  <c:v>49.329432761890232</c:v>
                </c:pt>
                <c:pt idx="18">
                  <c:v>49.22586397073372</c:v>
                </c:pt>
                <c:pt idx="19">
                  <c:v>49.499286647465574</c:v>
                </c:pt>
                <c:pt idx="20">
                  <c:v>49.413045056197049</c:v>
                </c:pt>
                <c:pt idx="21">
                  <c:v>51.763308066468227</c:v>
                </c:pt>
                <c:pt idx="22">
                  <c:v>53.195856898095869</c:v>
                </c:pt>
              </c:numCache>
            </c:numRef>
          </c:val>
          <c:smooth val="0"/>
          <c:extLst>
            <c:ext xmlns:c16="http://schemas.microsoft.com/office/drawing/2014/chart" uri="{C3380CC4-5D6E-409C-BE32-E72D297353CC}">
              <c16:uniqueId val="{00000001-B3E7-4AF4-8DD9-3E3D874C52DA}"/>
            </c:ext>
          </c:extLst>
        </c:ser>
        <c:dLbls>
          <c:showLegendKey val="0"/>
          <c:showVal val="0"/>
          <c:showCatName val="0"/>
          <c:showSerName val="0"/>
          <c:showPercent val="0"/>
          <c:showBubbleSize val="0"/>
        </c:dLbls>
        <c:smooth val="0"/>
        <c:axId val="517726632"/>
        <c:axId val="517737456"/>
      </c:lineChart>
      <c:dateAx>
        <c:axId val="517726632"/>
        <c:scaling>
          <c:orientation val="minMax"/>
          <c:max val="43983"/>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70"/>
          <c:min val="40"/>
        </c:scaling>
        <c:delete val="0"/>
        <c:axPos val="l"/>
        <c:majorGridlines>
          <c:spPr>
            <a:ln w="9525" cap="flat" cmpd="sng" algn="ctr">
              <a:solidFill>
                <a:srgbClr val="A4A4A4"/>
              </a:solidFill>
              <a:round/>
            </a:ln>
            <a:effectLst/>
          </c:spPr>
        </c:majorGridlines>
        <c:numFmt formatCode="General"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5"/>
      </c:valAx>
      <c:spPr>
        <a:noFill/>
        <a:ln>
          <a:solidFill>
            <a:srgbClr val="A4A4A4"/>
          </a:solidFill>
        </a:ln>
        <a:effectLst/>
      </c:spPr>
    </c:plotArea>
    <c:legend>
      <c:legendPos val="b"/>
      <c:layout>
        <c:manualLayout>
          <c:xMode val="edge"/>
          <c:yMode val="edge"/>
          <c:x val="0.2126077802208047"/>
          <c:y val="0.91500006486009677"/>
          <c:w val="0.5695220040763157"/>
          <c:h val="7.1820363475982293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chart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chart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2.bin"/></Relationships>
</file>

<file path=xl/chart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4.bin"/></Relationships>
</file>

<file path=xl/chart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6.bin"/></Relationships>
</file>

<file path=xl/chart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8.bin"/></Relationships>
</file>

<file path=xl/chart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0.bin"/></Relationships>
</file>

<file path=xl/chart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2.bin"/></Relationships>
</file>

<file path=xl/chart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4.bin"/></Relationships>
</file>

<file path=xl/chart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6.bin"/></Relationships>
</file>

<file path=xl/chart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8.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chart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40.bin"/></Relationships>
</file>

<file path=xl/chart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42.bin"/></Relationships>
</file>

<file path=xl/chart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44.bin"/></Relationships>
</file>

<file path=xl/chart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46.bin"/></Relationships>
</file>

<file path=xl/chart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48.bin"/></Relationships>
</file>

<file path=xl/chart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50.bin"/></Relationships>
</file>

<file path=xl/chart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52.bin"/></Relationships>
</file>

<file path=xl/chart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54.bin"/></Relationships>
</file>

<file path=xl/chart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56.bin"/></Relationships>
</file>

<file path=xl/chart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58.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chart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60.bin"/></Relationships>
</file>

<file path=xl/chart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62.bin"/></Relationships>
</file>

<file path=xl/chart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64.bin"/></Relationships>
</file>

<file path=xl/chart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66.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chart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chart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chart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chart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chartsheets/sheet1.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10.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11.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12.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13.xml><?xml version="1.0" encoding="utf-8"?>
<chartsheet xmlns="http://schemas.openxmlformats.org/spreadsheetml/2006/main" xmlns:r="http://schemas.openxmlformats.org/officeDocument/2006/relationships">
  <sheetPr/>
  <sheetViews>
    <sheetView workbookViewId="0"/>
  </sheetViews>
  <pageMargins left="0.7" right="0.7" top="0.75" bottom="0.75" header="0.3" footer="0.3"/>
  <pageSetup paperSize="9" orientation="landscape" r:id="rId1"/>
  <drawing r:id="rId2"/>
</chartsheet>
</file>

<file path=xl/chartsheets/sheet14.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15.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16.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17.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18.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19.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2.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20.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21.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22.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23.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24.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25.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26.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27.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28.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29.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3.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30.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31.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32.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33.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4.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5.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6.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7.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8.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chartsheets/sheet9.xml><?xml version="1.0" encoding="utf-8"?>
<chartsheet xmlns="http://schemas.openxmlformats.org/spreadsheetml/2006/main" xmlns:r="http://schemas.openxmlformats.org/officeDocument/2006/relationships">
  <sheetPr/>
  <sheetViews>
    <sheetView zoomScale="122" workbookViewId="0" zoomToFit="1"/>
  </sheetViews>
  <pageMargins left="0.7" right="0.7" top="0.75" bottom="0.75" header="0.3" footer="0.3"/>
  <pageSetup paperSize="9"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0" y="0"/>
    <xdr:ext cx="11353800" cy="7419975"/>
    <xdr:graphicFrame macro="">
      <xdr:nvGraphicFramePr>
        <xdr:cNvPr id="2" name="Diagram 1" descr="\Templates\PowerPoint_FI_Cirkel.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absoluteAnchor>
    <xdr:pos x="0" y="0"/>
    <xdr:ext cx="9306393" cy="6081947"/>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xdr:wsDr xmlns:xdr="http://schemas.openxmlformats.org/drawingml/2006/spreadsheetDrawing" xmlns:a="http://schemas.openxmlformats.org/drawingml/2006/main">
  <xdr:absoluteAnchor>
    <xdr:pos x="0" y="0"/>
    <xdr:ext cx="9306393" cy="6081947"/>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absoluteAnchor>
    <xdr:pos x="0" y="0"/>
    <xdr:ext cx="9306393" cy="6081947"/>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descr="\Templates\Rapport löptex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xdr:wsDr xmlns:xdr="http://schemas.openxmlformats.org/drawingml/2006/spreadsheetDrawing" xmlns:a="http://schemas.openxmlformats.org/drawingml/2006/main">
  <xdr:absoluteAnchor>
    <xdr:pos x="0" y="0"/>
    <xdr:ext cx="9306393" cy="6081947"/>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xdr:wsDr xmlns:xdr="http://schemas.openxmlformats.org/drawingml/2006/spreadsheetDrawing" xmlns:a="http://schemas.openxmlformats.org/drawingml/2006/main">
  <xdr:absoluteAnchor>
    <xdr:pos x="0" y="0"/>
    <xdr:ext cx="9306393" cy="6081947"/>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xdr:wsDr xmlns:xdr="http://schemas.openxmlformats.org/drawingml/2006/spreadsheetDrawing" xmlns:a="http://schemas.openxmlformats.org/drawingml/2006/main">
  <xdr:absoluteAnchor>
    <xdr:pos x="0" y="0"/>
    <xdr:ext cx="9306393" cy="6081947"/>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xdr:wsDr xmlns:xdr="http://schemas.openxmlformats.org/drawingml/2006/spreadsheetDrawing" xmlns:a="http://schemas.openxmlformats.org/drawingml/2006/main">
  <xdr:absoluteAnchor>
    <xdr:pos x="0" y="0"/>
    <xdr:ext cx="9306393" cy="6081947"/>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xdr:wsDr xmlns:xdr="http://schemas.openxmlformats.org/drawingml/2006/spreadsheetDrawing" xmlns:a="http://schemas.openxmlformats.org/drawingml/2006/main">
  <xdr:absoluteAnchor>
    <xdr:pos x="0" y="0"/>
    <xdr:ext cx="9306393" cy="6081947"/>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9.xml><?xml version="1.0" encoding="utf-8"?>
<xdr:wsDr xmlns:xdr="http://schemas.openxmlformats.org/drawingml/2006/spreadsheetDrawing" xmlns:a="http://schemas.openxmlformats.org/drawingml/2006/main">
  <xdr:absoluteAnchor>
    <xdr:pos x="0" y="0"/>
    <xdr:ext cx="9306393" cy="6081947"/>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9306393" cy="6081947"/>
    <xdr:graphicFrame macro="">
      <xdr:nvGraphicFramePr>
        <xdr:cNvPr id="2" name="Diagram 1" descr="\Templates\PowerPoint_FI_Cirkel.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0.xml><?xml version="1.0" encoding="utf-8"?>
<xdr:wsDr xmlns:xdr="http://schemas.openxmlformats.org/drawingml/2006/spreadsheetDrawing" xmlns:a="http://schemas.openxmlformats.org/drawingml/2006/main">
  <xdr:absoluteAnchor>
    <xdr:pos x="0" y="0"/>
    <xdr:ext cx="9306393" cy="6081947"/>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1.xml><?xml version="1.0" encoding="utf-8"?>
<xdr:wsDr xmlns:xdr="http://schemas.openxmlformats.org/drawingml/2006/spreadsheetDrawing" xmlns:a="http://schemas.openxmlformats.org/drawingml/2006/main">
  <xdr:absoluteAnchor>
    <xdr:pos x="0" y="0"/>
    <xdr:ext cx="9306393" cy="6081947"/>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2.xml><?xml version="1.0" encoding="utf-8"?>
<xdr:wsDr xmlns:xdr="http://schemas.openxmlformats.org/drawingml/2006/spreadsheetDrawing" xmlns:a="http://schemas.openxmlformats.org/drawingml/2006/main">
  <xdr:absoluteAnchor>
    <xdr:pos x="0" y="0"/>
    <xdr:ext cx="9306393" cy="6081947"/>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3.xml><?xml version="1.0" encoding="utf-8"?>
<xdr:wsDr xmlns:xdr="http://schemas.openxmlformats.org/drawingml/2006/spreadsheetDrawing" xmlns:a="http://schemas.openxmlformats.org/drawingml/2006/main">
  <xdr:absoluteAnchor>
    <xdr:pos x="0" y="0"/>
    <xdr:ext cx="9306393" cy="6081947"/>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4.xml><?xml version="1.0" encoding="utf-8"?>
<xdr:wsDr xmlns:xdr="http://schemas.openxmlformats.org/drawingml/2006/spreadsheetDrawing" xmlns:a="http://schemas.openxmlformats.org/drawingml/2006/main">
  <xdr:absoluteAnchor>
    <xdr:pos x="0" y="0"/>
    <xdr:ext cx="9306393" cy="6081947"/>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5.xml><?xml version="1.0" encoding="utf-8"?>
<xdr:wsDr xmlns:xdr="http://schemas.openxmlformats.org/drawingml/2006/spreadsheetDrawing" xmlns:a="http://schemas.openxmlformats.org/drawingml/2006/main">
  <xdr:absoluteAnchor>
    <xdr:pos x="0" y="0"/>
    <xdr:ext cx="9306393" cy="6081947"/>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6.xml><?xml version="1.0" encoding="utf-8"?>
<xdr:wsDr xmlns:xdr="http://schemas.openxmlformats.org/drawingml/2006/spreadsheetDrawing" xmlns:a="http://schemas.openxmlformats.org/drawingml/2006/main">
  <xdr:absoluteAnchor>
    <xdr:pos x="0" y="0"/>
    <xdr:ext cx="9306393" cy="6081947"/>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7.xml><?xml version="1.0" encoding="utf-8"?>
<xdr:wsDr xmlns:xdr="http://schemas.openxmlformats.org/drawingml/2006/spreadsheetDrawing" xmlns:a="http://schemas.openxmlformats.org/drawingml/2006/main">
  <xdr:absoluteAnchor>
    <xdr:pos x="0" y="0"/>
    <xdr:ext cx="9306393" cy="6081947"/>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8.xml><?xml version="1.0" encoding="utf-8"?>
<xdr:wsDr xmlns:xdr="http://schemas.openxmlformats.org/drawingml/2006/spreadsheetDrawing" xmlns:a="http://schemas.openxmlformats.org/drawingml/2006/main">
  <xdr:absoluteAnchor>
    <xdr:pos x="0" y="0"/>
    <xdr:ext cx="9306393" cy="6081947"/>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9.xml><?xml version="1.0" encoding="utf-8"?>
<xdr:wsDr xmlns:xdr="http://schemas.openxmlformats.org/drawingml/2006/spreadsheetDrawing" xmlns:a="http://schemas.openxmlformats.org/drawingml/2006/main">
  <xdr:absoluteAnchor>
    <xdr:pos x="0" y="0"/>
    <xdr:ext cx="9306393" cy="6081947"/>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306393" cy="6081947"/>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0.xml><?xml version="1.0" encoding="utf-8"?>
<xdr:wsDr xmlns:xdr="http://schemas.openxmlformats.org/drawingml/2006/spreadsheetDrawing" xmlns:a="http://schemas.openxmlformats.org/drawingml/2006/main">
  <xdr:absoluteAnchor>
    <xdr:pos x="0" y="0"/>
    <xdr:ext cx="9306393" cy="6081947"/>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1.xml><?xml version="1.0" encoding="utf-8"?>
<xdr:wsDr xmlns:xdr="http://schemas.openxmlformats.org/drawingml/2006/spreadsheetDrawing" xmlns:a="http://schemas.openxmlformats.org/drawingml/2006/main">
  <xdr:absoluteAnchor>
    <xdr:pos x="0" y="0"/>
    <xdr:ext cx="9306393" cy="6081947"/>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2.xml><?xml version="1.0" encoding="utf-8"?>
<xdr:wsDr xmlns:xdr="http://schemas.openxmlformats.org/drawingml/2006/spreadsheetDrawing" xmlns:a="http://schemas.openxmlformats.org/drawingml/2006/main">
  <xdr:absoluteAnchor>
    <xdr:pos x="0" y="0"/>
    <xdr:ext cx="9306393" cy="6081947"/>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3.xml><?xml version="1.0" encoding="utf-8"?>
<xdr:wsDr xmlns:xdr="http://schemas.openxmlformats.org/drawingml/2006/spreadsheetDrawing" xmlns:a="http://schemas.openxmlformats.org/drawingml/2006/main">
  <xdr:absoluteAnchor>
    <xdr:pos x="0" y="0"/>
    <xdr:ext cx="9306393" cy="6081947"/>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306393" cy="6081947"/>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9306393" cy="6081947"/>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9306393" cy="6081947"/>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9306393" cy="6081947"/>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9306393" cy="6081947"/>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9306393" cy="6081947"/>
    <xdr:graphicFrame macro="">
      <xdr:nvGraphicFramePr>
        <xdr:cNvPr id="2" name="Diagram 1" descr="\Templates\PowerPoint_FI_Linje.crtx"/>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uti\Downloads\EBA%20Interactive%20Dashboard%20-%20Q2%2020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Charts"/>
      <sheetName val="Assets"/>
      <sheetName val="Loans Composition"/>
      <sheetName val="Loans NPL and coverage ratio"/>
      <sheetName val="NACE composition"/>
      <sheetName val="NPL ratio by NACE"/>
      <sheetName val="IFRS9"/>
      <sheetName val="Sovereigns"/>
      <sheetName val="Liabilities"/>
      <sheetName val="Own funds and RWA"/>
      <sheetName val="Profitability"/>
      <sheetName val="Time series"/>
      <sheetName val="RI database"/>
      <sheetName val="Annex database"/>
      <sheetName val="Data"/>
      <sheetName val="Data Annex"/>
      <sheetName val="Reference Dates"/>
      <sheetName val="List"/>
    </sheetNames>
    <sheetDataSet>
      <sheetData sheetId="0">
        <row r="6">
          <cell r="T6" t="str">
            <v>Assets</v>
          </cell>
        </row>
        <row r="7">
          <cell r="T7" t="str">
            <v>Liabilities</v>
          </cell>
        </row>
        <row r="8">
          <cell r="T8" t="str">
            <v>Loans Composition</v>
          </cell>
        </row>
        <row r="9">
          <cell r="T9" t="str">
            <v>Loans NPL and coverage ratio</v>
          </cell>
        </row>
        <row r="10">
          <cell r="T10" t="str">
            <v>NACE composition</v>
          </cell>
        </row>
        <row r="11">
          <cell r="T11" t="str">
            <v>NPL ratio by NACE</v>
          </cell>
        </row>
        <row r="12">
          <cell r="T12" t="str">
            <v>Own funds and RWA</v>
          </cell>
        </row>
        <row r="13">
          <cell r="T13" t="str">
            <v>Profitability</v>
          </cell>
        </row>
        <row r="14">
          <cell r="T14" t="str">
            <v>IFRS9</v>
          </cell>
        </row>
        <row r="15">
          <cell r="T15" t="str">
            <v>Sovereigns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_rels/themeOverride1.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0.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1.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2.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3.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4.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5.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6.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7.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8.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9.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0.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1.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2.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3.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4.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5.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6.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7.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8.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9.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0.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1.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2.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3.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4.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5.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6.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7.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8.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9.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0.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3.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4.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5.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6.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7.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8.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9.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0.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3.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4.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5.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6.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7.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8.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9.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0.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3.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4.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5.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6.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7.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8.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9.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C27"/>
  <sheetViews>
    <sheetView tabSelected="1" workbookViewId="0">
      <selection activeCell="B25" sqref="B25"/>
    </sheetView>
  </sheetViews>
  <sheetFormatPr defaultRowHeight="15"/>
  <cols>
    <col min="1" max="1" width="18.140625" bestFit="1" customWidth="1"/>
    <col min="2" max="3" width="18.140625" customWidth="1"/>
  </cols>
  <sheetData>
    <row r="1" spans="1:3">
      <c r="A1" s="1" t="s">
        <v>0</v>
      </c>
      <c r="B1" t="s">
        <v>45</v>
      </c>
    </row>
    <row r="2" spans="1:3">
      <c r="A2" s="1" t="s">
        <v>1</v>
      </c>
      <c r="B2" t="s">
        <v>4</v>
      </c>
    </row>
    <row r="3" spans="1:3">
      <c r="A3" s="1" t="s">
        <v>2</v>
      </c>
      <c r="B3" t="s">
        <v>22</v>
      </c>
    </row>
    <row r="4" spans="1:3">
      <c r="A4" s="1" t="s">
        <v>3</v>
      </c>
      <c r="B4" t="s">
        <v>107</v>
      </c>
    </row>
    <row r="7" spans="1:3">
      <c r="A7" s="3"/>
      <c r="B7" s="5" t="s">
        <v>10</v>
      </c>
      <c r="C7" s="5" t="s">
        <v>11</v>
      </c>
    </row>
    <row r="8" spans="1:3">
      <c r="A8" s="2" t="s">
        <v>93</v>
      </c>
      <c r="B8" s="12">
        <v>3735915891323.4199</v>
      </c>
      <c r="C8" s="7">
        <f>B8/$B$16</f>
        <v>0.53731632245049454</v>
      </c>
    </row>
    <row r="9" spans="1:3">
      <c r="A9" s="2" t="s">
        <v>98</v>
      </c>
      <c r="B9" s="20">
        <v>148778011522</v>
      </c>
      <c r="C9" s="7">
        <f t="shared" ref="C9:C16" si="0">B9/$B$16</f>
        <v>2.1397926596302443E-2</v>
      </c>
    </row>
    <row r="10" spans="1:3">
      <c r="A10" s="2" t="s">
        <v>99</v>
      </c>
      <c r="B10" s="20">
        <v>869282014266.72998</v>
      </c>
      <c r="C10" s="7">
        <f t="shared" si="0"/>
        <v>0.12502407138312163</v>
      </c>
    </row>
    <row r="11" spans="1:3">
      <c r="A11" s="2" t="s">
        <v>97</v>
      </c>
      <c r="B11" s="20">
        <v>52603942456</v>
      </c>
      <c r="C11" s="7">
        <f t="shared" si="0"/>
        <v>7.5657369515464952E-3</v>
      </c>
    </row>
    <row r="12" spans="1:3">
      <c r="A12" s="2" t="s">
        <v>91</v>
      </c>
      <c r="B12" s="12">
        <v>32015871811</v>
      </c>
      <c r="C12" s="7">
        <f t="shared" si="0"/>
        <v>4.6046675037534285E-3</v>
      </c>
    </row>
    <row r="13" spans="1:3">
      <c r="A13" s="2" t="s">
        <v>96</v>
      </c>
      <c r="B13" s="12">
        <v>410928667544</v>
      </c>
      <c r="C13" s="7">
        <f t="shared" si="0"/>
        <v>5.9101619751939255E-2</v>
      </c>
    </row>
    <row r="14" spans="1:3">
      <c r="A14" s="2" t="s">
        <v>95</v>
      </c>
      <c r="B14" s="12">
        <v>377685260544</v>
      </c>
      <c r="C14" s="7">
        <f t="shared" si="0"/>
        <v>5.4320402584697981E-2</v>
      </c>
    </row>
    <row r="15" spans="1:3">
      <c r="A15" s="2" t="s">
        <v>40</v>
      </c>
      <c r="B15" s="12">
        <v>1325707524000</v>
      </c>
      <c r="C15" s="7">
        <f t="shared" si="0"/>
        <v>0.19066925277814412</v>
      </c>
    </row>
    <row r="16" spans="1:3">
      <c r="A16" s="6" t="s">
        <v>14</v>
      </c>
      <c r="B16" s="12">
        <v>6952917183467.1504</v>
      </c>
      <c r="C16" s="7">
        <f t="shared" si="0"/>
        <v>1</v>
      </c>
    </row>
    <row r="17" spans="1:3">
      <c r="A17" s="2"/>
      <c r="B17" s="4"/>
      <c r="C17" s="4"/>
    </row>
    <row r="18" spans="1:3">
      <c r="A18" s="2"/>
      <c r="B18" s="4"/>
      <c r="C18" s="28"/>
    </row>
    <row r="19" spans="1:3">
      <c r="A19" s="2"/>
      <c r="B19" s="4"/>
      <c r="C19" s="4"/>
    </row>
    <row r="20" spans="1:3">
      <c r="A20" s="2"/>
      <c r="B20" s="4"/>
      <c r="C20" s="4"/>
    </row>
    <row r="21" spans="1:3">
      <c r="A21" s="2"/>
      <c r="B21" s="4"/>
      <c r="C21" s="4"/>
    </row>
    <row r="22" spans="1:3">
      <c r="A22" s="2"/>
      <c r="B22" s="4"/>
      <c r="C22" s="4"/>
    </row>
    <row r="23" spans="1:3">
      <c r="A23" s="2"/>
      <c r="B23" s="4"/>
      <c r="C23" s="4"/>
    </row>
    <row r="24" spans="1:3">
      <c r="A24" s="2"/>
      <c r="B24" s="4"/>
      <c r="C24" s="4"/>
    </row>
    <row r="25" spans="1:3">
      <c r="A25" s="2"/>
      <c r="B25" s="4"/>
      <c r="C25" s="4"/>
    </row>
    <row r="26" spans="1:3">
      <c r="A26" s="2"/>
      <c r="B26" s="4"/>
      <c r="C26" s="4"/>
    </row>
    <row r="27" spans="1:3">
      <c r="A27" s="2"/>
      <c r="B27" s="4"/>
      <c r="C27" s="4"/>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D29"/>
  <sheetViews>
    <sheetView workbookViewId="0">
      <selection activeCell="I10" sqref="I10"/>
    </sheetView>
  </sheetViews>
  <sheetFormatPr defaultRowHeight="15"/>
  <cols>
    <col min="1" max="1" width="10.42578125" bestFit="1" customWidth="1"/>
    <col min="2" max="2" width="20.5703125" customWidth="1"/>
    <col min="3" max="3" width="10.5703125" bestFit="1" customWidth="1"/>
  </cols>
  <sheetData>
    <row r="1" spans="1:3">
      <c r="A1" s="1" t="s">
        <v>0</v>
      </c>
      <c r="B1" t="s">
        <v>77</v>
      </c>
    </row>
    <row r="2" spans="1:3">
      <c r="A2" s="1" t="s">
        <v>1</v>
      </c>
      <c r="B2" t="s">
        <v>4</v>
      </c>
    </row>
    <row r="3" spans="1:3">
      <c r="A3" s="1" t="s">
        <v>2</v>
      </c>
      <c r="B3" t="s">
        <v>9</v>
      </c>
    </row>
    <row r="4" spans="1:3">
      <c r="A4" s="1" t="s">
        <v>3</v>
      </c>
      <c r="B4" t="s">
        <v>78</v>
      </c>
    </row>
    <row r="7" spans="1:3">
      <c r="A7" s="3"/>
      <c r="B7" s="5" t="s">
        <v>27</v>
      </c>
      <c r="C7" s="5" t="s">
        <v>28</v>
      </c>
    </row>
    <row r="8" spans="1:3">
      <c r="A8" s="2">
        <v>42094</v>
      </c>
      <c r="B8" s="4">
        <v>1.3862015256842253</v>
      </c>
      <c r="C8" s="4">
        <v>0.92312477967610751</v>
      </c>
    </row>
    <row r="9" spans="1:3">
      <c r="A9" s="2">
        <v>42185</v>
      </c>
      <c r="B9" s="4">
        <v>1.3530718435722275</v>
      </c>
      <c r="C9" s="4">
        <v>0.8136114030750895</v>
      </c>
    </row>
    <row r="10" spans="1:3">
      <c r="A10" s="2">
        <v>42277</v>
      </c>
      <c r="B10" s="4">
        <v>1.363198516206743</v>
      </c>
      <c r="C10" s="4">
        <v>0.91365810083232579</v>
      </c>
    </row>
    <row r="11" spans="1:3">
      <c r="A11" s="2">
        <v>42369</v>
      </c>
      <c r="B11" s="4">
        <v>1.4152652134951944</v>
      </c>
      <c r="C11" s="4">
        <v>0.9642167369915543</v>
      </c>
    </row>
    <row r="12" spans="1:3">
      <c r="A12" s="2">
        <v>42460</v>
      </c>
      <c r="B12" s="4">
        <v>1.3559398619045862</v>
      </c>
      <c r="C12" s="4">
        <v>0.93645835274747435</v>
      </c>
    </row>
    <row r="13" spans="1:3">
      <c r="A13" s="2">
        <v>42551</v>
      </c>
      <c r="B13" s="4">
        <v>1.3304330389732548</v>
      </c>
      <c r="C13" s="4">
        <v>0.92231587532282977</v>
      </c>
    </row>
    <row r="14" spans="1:3">
      <c r="A14" s="2">
        <v>42643</v>
      </c>
      <c r="B14" s="4">
        <v>1.3243444342932138</v>
      </c>
      <c r="C14" s="4">
        <v>0.88242689055515433</v>
      </c>
    </row>
    <row r="15" spans="1:3">
      <c r="A15" s="2">
        <v>42735</v>
      </c>
      <c r="B15" s="4">
        <v>1.3880275316491577</v>
      </c>
      <c r="C15" s="4">
        <v>0.91295533501670834</v>
      </c>
    </row>
    <row r="16" spans="1:3">
      <c r="A16" s="2">
        <v>42825</v>
      </c>
      <c r="B16" s="4">
        <v>1.3652276587293337</v>
      </c>
      <c r="C16" s="4">
        <v>0.83800706570971284</v>
      </c>
    </row>
    <row r="17" spans="1:4">
      <c r="A17" s="2">
        <v>42916</v>
      </c>
      <c r="B17" s="4">
        <v>1.380995691013972</v>
      </c>
      <c r="C17" s="4">
        <v>0.89698318904399255</v>
      </c>
    </row>
    <row r="18" spans="1:4">
      <c r="A18" s="2">
        <v>43008</v>
      </c>
      <c r="B18" s="4">
        <v>1.3549041313490595</v>
      </c>
      <c r="C18" s="4">
        <v>0.93360024929565555</v>
      </c>
    </row>
    <row r="19" spans="1:4">
      <c r="A19" s="2">
        <v>43100</v>
      </c>
      <c r="B19" s="4">
        <v>1.4080698016040876</v>
      </c>
      <c r="C19" s="4">
        <v>0.95661011978333799</v>
      </c>
    </row>
    <row r="20" spans="1:4">
      <c r="A20" s="2">
        <v>43190</v>
      </c>
      <c r="B20" s="4">
        <v>1.4064612075634073</v>
      </c>
      <c r="C20" s="4">
        <v>1.0355777294445103</v>
      </c>
    </row>
    <row r="21" spans="1:4">
      <c r="A21" s="2">
        <v>43281</v>
      </c>
      <c r="B21" s="4">
        <v>1.3759496979585846</v>
      </c>
      <c r="C21" s="4">
        <v>1.0518802387738668</v>
      </c>
    </row>
    <row r="22" spans="1:4">
      <c r="A22" s="2">
        <v>43373</v>
      </c>
      <c r="B22" s="4">
        <v>1.3967212817944834</v>
      </c>
      <c r="C22" s="4">
        <v>1.0198150598048594</v>
      </c>
    </row>
    <row r="23" spans="1:4">
      <c r="A23" s="2">
        <v>43465</v>
      </c>
      <c r="B23" s="4">
        <v>1.420436435994151</v>
      </c>
      <c r="C23" s="4">
        <v>1.0537759373173761</v>
      </c>
    </row>
    <row r="24" spans="1:4">
      <c r="A24" s="2">
        <v>43555</v>
      </c>
      <c r="B24" s="4">
        <v>1.4099162007291384</v>
      </c>
      <c r="C24" s="4">
        <v>1.0346916173995748</v>
      </c>
    </row>
    <row r="25" spans="1:4">
      <c r="A25" s="2">
        <v>43646</v>
      </c>
      <c r="B25" s="4">
        <v>1.4045192854524093</v>
      </c>
      <c r="C25" s="4">
        <v>1.1430692803728206</v>
      </c>
    </row>
    <row r="26" spans="1:4">
      <c r="A26" s="2">
        <v>43738</v>
      </c>
      <c r="B26" s="4">
        <v>1.4068871757593593</v>
      </c>
      <c r="C26" s="4">
        <v>1.213583690397809</v>
      </c>
    </row>
    <row r="27" spans="1:4">
      <c r="A27" s="2">
        <v>43830</v>
      </c>
      <c r="B27" s="4">
        <v>1.4487799437295763</v>
      </c>
      <c r="C27" s="4">
        <v>1.2497058492018829</v>
      </c>
    </row>
    <row r="28" spans="1:4">
      <c r="A28" s="2">
        <v>43921</v>
      </c>
      <c r="B28" s="4">
        <f>0.0140423678722284*100</f>
        <v>1.4042367872228401</v>
      </c>
      <c r="C28" s="4">
        <f>0.0126567749643016*100</f>
        <v>1.26567749643016</v>
      </c>
    </row>
    <row r="29" spans="1:4">
      <c r="A29" s="2">
        <v>44012</v>
      </c>
      <c r="B29" s="4">
        <f>0.0146110791235682*100</f>
        <v>1.46110791235682</v>
      </c>
      <c r="C29" s="4">
        <f>0.0125773714174874*100</f>
        <v>1.25773714174874</v>
      </c>
      <c r="D29" s="4"/>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E34"/>
  <sheetViews>
    <sheetView workbookViewId="0">
      <selection activeCell="B17" sqref="B17"/>
    </sheetView>
  </sheetViews>
  <sheetFormatPr defaultRowHeight="15"/>
  <cols>
    <col min="1" max="1" width="14.140625" customWidth="1"/>
    <col min="2" max="2" width="20.5703125" customWidth="1"/>
    <col min="3" max="3" width="12" bestFit="1" customWidth="1"/>
  </cols>
  <sheetData>
    <row r="1" spans="1:5">
      <c r="A1" s="1" t="s">
        <v>0</v>
      </c>
      <c r="B1" t="s">
        <v>36</v>
      </c>
    </row>
    <row r="2" spans="1:5">
      <c r="A2" s="1" t="s">
        <v>1</v>
      </c>
      <c r="B2" t="s">
        <v>16</v>
      </c>
    </row>
    <row r="3" spans="1:5">
      <c r="A3" s="1" t="s">
        <v>2</v>
      </c>
      <c r="B3" t="s">
        <v>9</v>
      </c>
    </row>
    <row r="4" spans="1:5">
      <c r="A4" s="1" t="s">
        <v>3</v>
      </c>
    </row>
    <row r="7" spans="1:5">
      <c r="A7" s="3"/>
      <c r="B7" s="5" t="s">
        <v>48</v>
      </c>
      <c r="C7" s="11"/>
      <c r="D7" s="17"/>
    </row>
    <row r="8" spans="1:5">
      <c r="A8" s="2">
        <v>43190</v>
      </c>
      <c r="B8" s="9">
        <v>4.5684688600000003</v>
      </c>
    </row>
    <row r="9" spans="1:5">
      <c r="A9" s="2">
        <v>43281</v>
      </c>
      <c r="B9" s="9">
        <v>6.5727922110000003</v>
      </c>
    </row>
    <row r="10" spans="1:5">
      <c r="A10" s="2">
        <v>43373</v>
      </c>
      <c r="B10" s="9">
        <v>8.1845161829999995</v>
      </c>
    </row>
    <row r="11" spans="1:5">
      <c r="A11" s="2">
        <v>43465</v>
      </c>
      <c r="B11" s="9">
        <v>10.583130053</v>
      </c>
    </row>
    <row r="12" spans="1:5">
      <c r="A12" s="2">
        <v>43555</v>
      </c>
      <c r="B12" s="9">
        <v>14.992522866</v>
      </c>
    </row>
    <row r="13" spans="1:5">
      <c r="A13" s="2">
        <v>43646</v>
      </c>
      <c r="B13" s="9">
        <v>17.375924939000001</v>
      </c>
    </row>
    <row r="14" spans="1:5">
      <c r="A14" s="2">
        <v>43738</v>
      </c>
      <c r="B14" s="9">
        <v>19.649134413999999</v>
      </c>
    </row>
    <row r="15" spans="1:5">
      <c r="A15" s="2">
        <v>43830</v>
      </c>
      <c r="B15" s="9">
        <v>21.683818379000002</v>
      </c>
    </row>
    <row r="16" spans="1:5">
      <c r="A16" s="2">
        <v>43921</v>
      </c>
      <c r="B16" s="9">
        <v>23.818884721</v>
      </c>
      <c r="D16" s="15"/>
      <c r="E16" s="9"/>
    </row>
    <row r="17" spans="1:2">
      <c r="A17" s="2">
        <v>44012</v>
      </c>
      <c r="B17" s="9">
        <f>26298084525/1000000000</f>
        <v>26.298084525</v>
      </c>
    </row>
    <row r="27" spans="1:2">
      <c r="B27" s="12"/>
    </row>
    <row r="28" spans="1:2">
      <c r="B28" s="12"/>
    </row>
    <row r="29" spans="1:2">
      <c r="B29" s="12"/>
    </row>
    <row r="30" spans="1:2">
      <c r="B30" s="12"/>
    </row>
    <row r="31" spans="1:2">
      <c r="B31" s="12"/>
    </row>
    <row r="32" spans="1:2">
      <c r="B32" s="12"/>
    </row>
    <row r="33" spans="2:2">
      <c r="B33" s="12"/>
    </row>
    <row r="34" spans="2:2">
      <c r="B34" s="12"/>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H110"/>
  <sheetViews>
    <sheetView workbookViewId="0">
      <selection activeCell="B5" sqref="B5"/>
    </sheetView>
  </sheetViews>
  <sheetFormatPr defaultRowHeight="15"/>
  <cols>
    <col min="1" max="1" width="14.140625" customWidth="1"/>
    <col min="2" max="2" width="25.28515625" customWidth="1"/>
    <col min="3" max="3" width="12" bestFit="1" customWidth="1"/>
  </cols>
  <sheetData>
    <row r="1" spans="1:8">
      <c r="A1" s="1" t="s">
        <v>0</v>
      </c>
      <c r="B1" t="s">
        <v>75</v>
      </c>
    </row>
    <row r="2" spans="1:8">
      <c r="A2" s="1" t="s">
        <v>1</v>
      </c>
      <c r="B2" t="s">
        <v>111</v>
      </c>
    </row>
    <row r="3" spans="1:8">
      <c r="A3" s="1" t="s">
        <v>2</v>
      </c>
      <c r="B3" t="s">
        <v>9</v>
      </c>
    </row>
    <row r="4" spans="1:8">
      <c r="A4" s="1" t="s">
        <v>3</v>
      </c>
      <c r="B4" t="s">
        <v>76</v>
      </c>
    </row>
    <row r="7" spans="1:8">
      <c r="A7" s="3"/>
      <c r="B7" s="5" t="s">
        <v>105</v>
      </c>
      <c r="C7" s="5" t="s">
        <v>106</v>
      </c>
    </row>
    <row r="8" spans="1:8">
      <c r="A8" s="2">
        <v>41061</v>
      </c>
      <c r="B8">
        <v>22</v>
      </c>
      <c r="C8" s="9">
        <v>126.235242</v>
      </c>
      <c r="H8" s="13"/>
    </row>
    <row r="9" spans="1:8">
      <c r="A9" s="2">
        <v>41244</v>
      </c>
      <c r="B9">
        <v>22</v>
      </c>
      <c r="C9" s="9">
        <v>135.37785099999999</v>
      </c>
      <c r="H9" s="13"/>
    </row>
    <row r="10" spans="1:8">
      <c r="A10" s="2">
        <v>41426</v>
      </c>
      <c r="B10">
        <v>23</v>
      </c>
      <c r="C10" s="9">
        <v>136.48057299999999</v>
      </c>
      <c r="H10" s="13"/>
    </row>
    <row r="11" spans="1:8">
      <c r="A11" s="2">
        <v>41609</v>
      </c>
      <c r="B11">
        <v>22</v>
      </c>
      <c r="C11" s="9">
        <v>127.509832</v>
      </c>
      <c r="H11" s="13"/>
    </row>
    <row r="12" spans="1:8">
      <c r="A12" s="2">
        <v>41791</v>
      </c>
      <c r="B12">
        <v>23</v>
      </c>
      <c r="C12" s="9">
        <v>118.950862</v>
      </c>
      <c r="H12" s="13"/>
    </row>
    <row r="13" spans="1:8">
      <c r="A13" s="2">
        <v>41974</v>
      </c>
      <c r="B13">
        <v>24</v>
      </c>
      <c r="C13" s="9">
        <v>121.243554</v>
      </c>
      <c r="H13" s="13"/>
    </row>
    <row r="14" spans="1:8">
      <c r="A14" s="2">
        <v>42156</v>
      </c>
      <c r="B14">
        <v>23</v>
      </c>
      <c r="C14" s="9">
        <v>127.804142</v>
      </c>
      <c r="H14" s="13"/>
    </row>
    <row r="15" spans="1:8">
      <c r="A15" s="2">
        <v>42339</v>
      </c>
      <c r="B15">
        <v>25</v>
      </c>
      <c r="C15" s="9">
        <v>144.03834599999999</v>
      </c>
      <c r="H15" s="13"/>
    </row>
    <row r="16" spans="1:8">
      <c r="A16" s="2">
        <v>42522</v>
      </c>
      <c r="B16">
        <v>27</v>
      </c>
      <c r="C16" s="9">
        <v>167.59769700000001</v>
      </c>
      <c r="H16" s="13"/>
    </row>
    <row r="17" spans="1:8">
      <c r="A17" s="2">
        <v>42705</v>
      </c>
      <c r="B17">
        <v>28</v>
      </c>
      <c r="C17" s="9">
        <v>191.23185000000001</v>
      </c>
      <c r="H17" s="13"/>
    </row>
    <row r="18" spans="1:8">
      <c r="A18" s="2">
        <v>42887</v>
      </c>
      <c r="B18">
        <v>32</v>
      </c>
      <c r="C18" s="9">
        <v>219.32824299999999</v>
      </c>
      <c r="H18" s="13"/>
    </row>
    <row r="19" spans="1:8">
      <c r="A19" s="2">
        <v>43070</v>
      </c>
      <c r="B19">
        <v>32</v>
      </c>
      <c r="C19" s="9">
        <v>245.715711</v>
      </c>
      <c r="H19" s="13"/>
    </row>
    <row r="20" spans="1:8">
      <c r="A20" s="2">
        <v>43252</v>
      </c>
      <c r="B20">
        <v>32</v>
      </c>
      <c r="C20" s="9">
        <v>275.37471099999999</v>
      </c>
      <c r="H20" s="13"/>
    </row>
    <row r="21" spans="1:8">
      <c r="A21" s="2">
        <v>43435</v>
      </c>
      <c r="B21">
        <v>30</v>
      </c>
      <c r="C21" s="9">
        <v>325.45413400000001</v>
      </c>
      <c r="H21" s="13"/>
    </row>
    <row r="22" spans="1:8">
      <c r="A22" s="2">
        <v>43617</v>
      </c>
      <c r="B22">
        <v>30</v>
      </c>
      <c r="C22" s="9">
        <v>399.977192</v>
      </c>
      <c r="H22" s="13"/>
    </row>
    <row r="23" spans="1:8">
      <c r="A23" s="2">
        <v>43800</v>
      </c>
      <c r="B23">
        <v>30</v>
      </c>
      <c r="C23" s="9">
        <v>558.01142400000003</v>
      </c>
      <c r="H23" s="13"/>
    </row>
    <row r="24" spans="1:8">
      <c r="A24" s="2">
        <v>43983</v>
      </c>
      <c r="B24">
        <v>36</v>
      </c>
      <c r="C24" s="9">
        <v>651.36814000000004</v>
      </c>
      <c r="H24" s="13"/>
    </row>
    <row r="25" spans="1:8">
      <c r="A25" s="2"/>
      <c r="B25" s="9"/>
      <c r="C25" s="9"/>
    </row>
    <row r="26" spans="1:8">
      <c r="A26" s="2"/>
      <c r="B26" s="9"/>
      <c r="C26" s="9"/>
    </row>
    <row r="27" spans="1:8">
      <c r="A27" s="2"/>
      <c r="B27" s="9"/>
      <c r="C27" s="9"/>
    </row>
    <row r="28" spans="1:8">
      <c r="A28" s="2"/>
      <c r="B28" s="9"/>
      <c r="C28" s="9"/>
    </row>
    <row r="29" spans="1:8">
      <c r="A29" s="2"/>
      <c r="B29" s="9"/>
      <c r="C29" s="9"/>
    </row>
    <row r="30" spans="1:8">
      <c r="A30" s="2"/>
      <c r="B30" s="9"/>
      <c r="C30" s="9"/>
    </row>
    <row r="31" spans="1:8">
      <c r="A31" s="2"/>
      <c r="B31" s="9"/>
      <c r="C31" s="9"/>
    </row>
    <row r="32" spans="1:8">
      <c r="A32" s="2"/>
      <c r="B32" s="9"/>
      <c r="C32" s="9"/>
    </row>
    <row r="33" spans="1:3">
      <c r="A33" s="2"/>
      <c r="B33" s="9"/>
      <c r="C33" s="9"/>
    </row>
    <row r="34" spans="1:3">
      <c r="A34" s="2"/>
      <c r="B34" s="9"/>
      <c r="C34" s="9"/>
    </row>
    <row r="35" spans="1:3">
      <c r="A35" s="2"/>
      <c r="B35" s="9"/>
      <c r="C35" s="9"/>
    </row>
    <row r="36" spans="1:3">
      <c r="A36" s="2"/>
      <c r="B36" s="9"/>
      <c r="C36" s="9"/>
    </row>
    <row r="37" spans="1:3">
      <c r="A37" s="2"/>
      <c r="B37" s="9"/>
      <c r="C37" s="9"/>
    </row>
    <row r="38" spans="1:3">
      <c r="A38" s="2"/>
      <c r="B38" s="9"/>
      <c r="C38" s="9"/>
    </row>
    <row r="39" spans="1:3">
      <c r="A39" s="2"/>
      <c r="B39" s="9"/>
      <c r="C39" s="9"/>
    </row>
    <row r="40" spans="1:3">
      <c r="A40" s="2"/>
      <c r="B40" s="9"/>
      <c r="C40" s="9"/>
    </row>
    <row r="41" spans="1:3">
      <c r="A41" s="2"/>
      <c r="B41" s="9"/>
      <c r="C41" s="9"/>
    </row>
    <row r="42" spans="1:3">
      <c r="A42" s="2"/>
      <c r="B42" s="9"/>
      <c r="C42" s="9"/>
    </row>
    <row r="43" spans="1:3">
      <c r="A43" s="2"/>
      <c r="B43" s="9"/>
      <c r="C43" s="9"/>
    </row>
    <row r="44" spans="1:3">
      <c r="A44" s="2"/>
      <c r="B44" s="9"/>
      <c r="C44" s="9"/>
    </row>
    <row r="45" spans="1:3">
      <c r="A45" s="2"/>
      <c r="B45" s="9"/>
      <c r="C45" s="9"/>
    </row>
    <row r="46" spans="1:3">
      <c r="A46" s="2"/>
      <c r="B46" s="9"/>
      <c r="C46" s="9"/>
    </row>
    <row r="47" spans="1:3">
      <c r="A47" s="2"/>
      <c r="B47" s="9"/>
      <c r="C47" s="9"/>
    </row>
    <row r="48" spans="1:3">
      <c r="A48" s="2"/>
      <c r="B48" s="9"/>
      <c r="C48" s="9"/>
    </row>
    <row r="49" spans="1:3">
      <c r="A49" s="2"/>
      <c r="B49" s="9"/>
      <c r="C49" s="9"/>
    </row>
    <row r="50" spans="1:3">
      <c r="A50" s="2"/>
      <c r="B50" s="9"/>
      <c r="C50" s="9"/>
    </row>
    <row r="51" spans="1:3">
      <c r="A51" s="2"/>
      <c r="B51" s="9"/>
      <c r="C51" s="9"/>
    </row>
    <row r="52" spans="1:3">
      <c r="A52" s="2"/>
      <c r="B52" s="9"/>
      <c r="C52" s="9"/>
    </row>
    <row r="53" spans="1:3">
      <c r="A53" s="2"/>
      <c r="B53" s="9"/>
      <c r="C53" s="9"/>
    </row>
    <row r="54" spans="1:3">
      <c r="A54" s="2"/>
      <c r="B54" s="9"/>
      <c r="C54" s="9"/>
    </row>
    <row r="55" spans="1:3">
      <c r="A55" s="2"/>
      <c r="B55" s="9"/>
      <c r="C55" s="9"/>
    </row>
    <row r="56" spans="1:3">
      <c r="A56" s="2"/>
      <c r="B56" s="9"/>
      <c r="C56" s="9"/>
    </row>
    <row r="57" spans="1:3">
      <c r="A57" s="2"/>
      <c r="B57" s="9"/>
      <c r="C57" s="9"/>
    </row>
    <row r="58" spans="1:3">
      <c r="A58" s="2"/>
      <c r="B58" s="9"/>
      <c r="C58" s="9"/>
    </row>
    <row r="59" spans="1:3">
      <c r="A59" s="2"/>
      <c r="B59" s="9"/>
      <c r="C59" s="9"/>
    </row>
    <row r="60" spans="1:3">
      <c r="A60" s="2"/>
      <c r="B60" s="9"/>
      <c r="C60" s="9"/>
    </row>
    <row r="61" spans="1:3">
      <c r="A61" s="2"/>
      <c r="B61" s="9"/>
      <c r="C61" s="9"/>
    </row>
    <row r="62" spans="1:3">
      <c r="A62" s="2"/>
      <c r="B62" s="9"/>
      <c r="C62" s="9"/>
    </row>
    <row r="63" spans="1:3">
      <c r="A63" s="2"/>
      <c r="B63" s="9"/>
      <c r="C63" s="9"/>
    </row>
    <row r="64" spans="1:3">
      <c r="A64" s="2"/>
      <c r="B64" s="9"/>
      <c r="C64" s="9"/>
    </row>
    <row r="65" spans="1:3">
      <c r="A65" s="2"/>
      <c r="B65" s="9"/>
      <c r="C65" s="9"/>
    </row>
    <row r="66" spans="1:3">
      <c r="A66" s="2"/>
      <c r="B66" s="9"/>
      <c r="C66" s="9"/>
    </row>
    <row r="67" spans="1:3">
      <c r="A67" s="2"/>
      <c r="B67" s="9"/>
      <c r="C67" s="9"/>
    </row>
    <row r="68" spans="1:3">
      <c r="A68" s="2"/>
      <c r="B68" s="9"/>
      <c r="C68" s="9"/>
    </row>
    <row r="69" spans="1:3">
      <c r="A69" s="2"/>
      <c r="B69" s="9"/>
      <c r="C69" s="9"/>
    </row>
    <row r="70" spans="1:3">
      <c r="A70" s="2"/>
      <c r="B70" s="9"/>
      <c r="C70" s="9"/>
    </row>
    <row r="71" spans="1:3">
      <c r="A71" s="2"/>
      <c r="B71" s="9"/>
      <c r="C71" s="9"/>
    </row>
    <row r="72" spans="1:3">
      <c r="A72" s="2"/>
      <c r="B72" s="9"/>
      <c r="C72" s="9"/>
    </row>
    <row r="73" spans="1:3">
      <c r="A73" s="2"/>
      <c r="B73" s="9"/>
      <c r="C73" s="9"/>
    </row>
    <row r="74" spans="1:3">
      <c r="A74" s="2"/>
      <c r="B74" s="9"/>
      <c r="C74" s="9"/>
    </row>
    <row r="75" spans="1:3">
      <c r="A75" s="2"/>
      <c r="B75" s="9"/>
      <c r="C75" s="9"/>
    </row>
    <row r="76" spans="1:3">
      <c r="A76" s="2"/>
      <c r="B76" s="9"/>
      <c r="C76" s="9"/>
    </row>
    <row r="77" spans="1:3">
      <c r="A77" s="2"/>
      <c r="B77" s="9"/>
      <c r="C77" s="9"/>
    </row>
    <row r="78" spans="1:3">
      <c r="A78" s="2"/>
      <c r="B78" s="9"/>
      <c r="C78" s="9"/>
    </row>
    <row r="79" spans="1:3">
      <c r="A79" s="2"/>
      <c r="B79" s="9"/>
      <c r="C79" s="9"/>
    </row>
    <row r="80" spans="1:3">
      <c r="A80" s="2"/>
      <c r="B80" s="9"/>
      <c r="C80" s="9"/>
    </row>
    <row r="81" spans="1:3">
      <c r="A81" s="2"/>
      <c r="B81" s="9"/>
      <c r="C81" s="9"/>
    </row>
    <row r="82" spans="1:3">
      <c r="A82" s="2"/>
      <c r="B82" s="9"/>
      <c r="C82" s="9"/>
    </row>
    <row r="83" spans="1:3">
      <c r="A83" s="2"/>
      <c r="B83" s="9"/>
      <c r="C83" s="9"/>
    </row>
    <row r="84" spans="1:3">
      <c r="A84" s="2"/>
      <c r="B84" s="9"/>
      <c r="C84" s="9"/>
    </row>
    <row r="85" spans="1:3">
      <c r="A85" s="2"/>
      <c r="B85" s="9"/>
      <c r="C85" s="9"/>
    </row>
    <row r="86" spans="1:3">
      <c r="A86" s="2"/>
      <c r="B86" s="9"/>
      <c r="C86" s="9"/>
    </row>
    <row r="87" spans="1:3">
      <c r="A87" s="2"/>
      <c r="B87" s="9"/>
      <c r="C87" s="9"/>
    </row>
    <row r="88" spans="1:3">
      <c r="A88" s="2"/>
      <c r="B88" s="9"/>
      <c r="C88" s="9"/>
    </row>
    <row r="89" spans="1:3">
      <c r="A89" s="2"/>
      <c r="B89" s="9"/>
      <c r="C89" s="9"/>
    </row>
    <row r="90" spans="1:3">
      <c r="A90" s="2"/>
      <c r="B90" s="9"/>
      <c r="C90" s="9"/>
    </row>
    <row r="91" spans="1:3">
      <c r="A91" s="2"/>
      <c r="B91" s="9"/>
      <c r="C91" s="9"/>
    </row>
    <row r="92" spans="1:3">
      <c r="A92" s="2"/>
      <c r="B92" s="9"/>
      <c r="C92" s="9"/>
    </row>
    <row r="93" spans="1:3">
      <c r="A93" s="2"/>
      <c r="B93" s="9"/>
      <c r="C93" s="9"/>
    </row>
    <row r="94" spans="1:3">
      <c r="A94" s="2"/>
      <c r="B94" s="9"/>
      <c r="C94" s="9"/>
    </row>
    <row r="95" spans="1:3">
      <c r="A95" s="2"/>
      <c r="B95" s="9"/>
      <c r="C95" s="9"/>
    </row>
    <row r="96" spans="1:3">
      <c r="A96" s="2"/>
      <c r="B96" s="9"/>
      <c r="C96" s="9"/>
    </row>
    <row r="97" spans="1:3">
      <c r="A97" s="2"/>
      <c r="B97" s="9"/>
      <c r="C97" s="9"/>
    </row>
    <row r="98" spans="1:3">
      <c r="A98" s="2"/>
      <c r="B98" s="9"/>
      <c r="C98" s="9"/>
    </row>
    <row r="99" spans="1:3">
      <c r="A99" s="2"/>
      <c r="B99" s="9"/>
      <c r="C99" s="9"/>
    </row>
    <row r="100" spans="1:3">
      <c r="A100" s="2"/>
      <c r="B100" s="9"/>
      <c r="C100" s="9"/>
    </row>
    <row r="101" spans="1:3">
      <c r="A101" s="2"/>
      <c r="B101" s="9"/>
      <c r="C101" s="9"/>
    </row>
    <row r="102" spans="1:3">
      <c r="A102" s="2"/>
      <c r="B102" s="9"/>
      <c r="C102" s="9"/>
    </row>
    <row r="103" spans="1:3">
      <c r="A103" s="2"/>
      <c r="B103" s="9"/>
      <c r="C103" s="9"/>
    </row>
    <row r="104" spans="1:3">
      <c r="A104" s="2"/>
      <c r="B104" s="9"/>
      <c r="C104" s="9"/>
    </row>
    <row r="105" spans="1:3">
      <c r="A105" s="2"/>
      <c r="B105" s="9"/>
      <c r="C105" s="9"/>
    </row>
    <row r="106" spans="1:3">
      <c r="A106" s="2"/>
      <c r="B106" s="9"/>
      <c r="C106" s="9"/>
    </row>
    <row r="107" spans="1:3">
      <c r="A107" s="2"/>
      <c r="B107" s="9"/>
      <c r="C107" s="9"/>
    </row>
    <row r="108" spans="1:3">
      <c r="A108" s="2"/>
      <c r="B108" s="9"/>
      <c r="C108" s="9"/>
    </row>
    <row r="109" spans="1:3">
      <c r="A109" s="2"/>
      <c r="B109" s="9"/>
      <c r="C109" s="9"/>
    </row>
    <row r="110" spans="1:3">
      <c r="A110" s="2"/>
      <c r="B110" s="9"/>
      <c r="C110" s="9"/>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Z29"/>
  <sheetViews>
    <sheetView workbookViewId="0">
      <selection activeCell="S11" sqref="S11"/>
    </sheetView>
  </sheetViews>
  <sheetFormatPr defaultRowHeight="15"/>
  <cols>
    <col min="1" max="1" width="10" customWidth="1"/>
    <col min="2" max="2" width="20.5703125" customWidth="1"/>
    <col min="3" max="4" width="20.28515625" customWidth="1"/>
  </cols>
  <sheetData>
    <row r="1" spans="1:26">
      <c r="A1" s="1" t="s">
        <v>0</v>
      </c>
      <c r="B1" t="s">
        <v>74</v>
      </c>
    </row>
    <row r="2" spans="1:26">
      <c r="A2" s="1" t="s">
        <v>1</v>
      </c>
      <c r="B2" t="s">
        <v>4</v>
      </c>
    </row>
    <row r="3" spans="1:26">
      <c r="A3" s="1" t="s">
        <v>2</v>
      </c>
      <c r="B3" t="s">
        <v>68</v>
      </c>
    </row>
    <row r="4" spans="1:26">
      <c r="A4" s="1" t="s">
        <v>3</v>
      </c>
      <c r="B4" s="34" t="s">
        <v>112</v>
      </c>
    </row>
    <row r="7" spans="1:26">
      <c r="A7" s="3"/>
      <c r="B7" s="5" t="s">
        <v>5</v>
      </c>
      <c r="C7" s="5" t="s">
        <v>6</v>
      </c>
      <c r="D7" s="5" t="s">
        <v>7</v>
      </c>
      <c r="E7" s="8" t="s">
        <v>37</v>
      </c>
    </row>
    <row r="8" spans="1:26">
      <c r="A8" s="2">
        <v>42094</v>
      </c>
      <c r="B8" s="9">
        <v>13.699868701948581</v>
      </c>
      <c r="C8" s="9">
        <v>14.361901462541345</v>
      </c>
      <c r="D8" s="9">
        <v>6.8930869500000007</v>
      </c>
      <c r="E8" s="9">
        <v>14.051439916995282</v>
      </c>
      <c r="I8" s="9"/>
      <c r="J8" s="9"/>
      <c r="K8" s="9"/>
      <c r="L8" s="9"/>
      <c r="M8" s="9"/>
      <c r="N8" s="9"/>
      <c r="O8" s="9"/>
      <c r="P8" s="9"/>
      <c r="Q8" s="9"/>
      <c r="R8" s="9"/>
      <c r="S8" s="9"/>
      <c r="T8" s="9"/>
      <c r="U8" s="9"/>
      <c r="V8" s="9"/>
      <c r="W8" s="9"/>
      <c r="X8" s="9"/>
      <c r="Y8" s="9"/>
      <c r="Z8" s="9"/>
    </row>
    <row r="9" spans="1:26">
      <c r="A9" s="2">
        <v>42185</v>
      </c>
      <c r="B9" s="9">
        <v>12.69813636919363</v>
      </c>
      <c r="C9" s="9">
        <v>12.19546761211905</v>
      </c>
      <c r="D9" s="9">
        <v>6.8181610299999997</v>
      </c>
      <c r="E9" s="9">
        <v>13.50497929878005</v>
      </c>
    </row>
    <row r="10" spans="1:26">
      <c r="A10" s="2">
        <v>42277</v>
      </c>
      <c r="B10" s="9">
        <v>11.923594350449594</v>
      </c>
      <c r="C10" s="9">
        <v>10.805912694916035</v>
      </c>
      <c r="D10" s="9">
        <v>6.3858144299999999</v>
      </c>
      <c r="E10" s="9">
        <v>13.006020190369771</v>
      </c>
    </row>
    <row r="11" spans="1:26">
      <c r="A11" s="2">
        <v>42369</v>
      </c>
      <c r="B11" s="9">
        <v>11.865228772769811</v>
      </c>
      <c r="C11" s="9">
        <v>8.2197051725269237</v>
      </c>
      <c r="D11" s="9">
        <v>4.4620201999999995</v>
      </c>
      <c r="E11" s="9">
        <v>12.546707048590406</v>
      </c>
    </row>
    <row r="12" spans="1:26">
      <c r="A12" s="2">
        <v>42460</v>
      </c>
      <c r="B12" s="9">
        <v>9.6551707211860869</v>
      </c>
      <c r="C12" s="9">
        <v>11.16412230562163</v>
      </c>
      <c r="D12" s="9">
        <v>5.6481311500000002</v>
      </c>
      <c r="E12" s="9">
        <v>11.535532553399779</v>
      </c>
    </row>
    <row r="13" spans="1:26">
      <c r="A13" s="2">
        <v>42551</v>
      </c>
      <c r="B13" s="9">
        <v>14.166592861862842</v>
      </c>
      <c r="C13" s="9">
        <v>11.928581658259622</v>
      </c>
      <c r="D13" s="9">
        <v>5.6797565600000004</v>
      </c>
      <c r="E13" s="9">
        <v>11.902646676567082</v>
      </c>
    </row>
    <row r="14" spans="1:26">
      <c r="A14" s="2">
        <v>42643</v>
      </c>
      <c r="B14" s="9">
        <v>13.664045559108956</v>
      </c>
      <c r="C14" s="9">
        <v>11.198554010662814</v>
      </c>
      <c r="D14" s="9">
        <v>5.3705120900000001</v>
      </c>
      <c r="E14" s="9">
        <v>12.337759478731924</v>
      </c>
    </row>
    <row r="15" spans="1:26">
      <c r="A15" s="2">
        <v>42735</v>
      </c>
      <c r="B15" s="9">
        <v>12.896461251994081</v>
      </c>
      <c r="C15" s="9">
        <v>13.139891036252136</v>
      </c>
      <c r="D15" s="9">
        <v>3.3025130299999996</v>
      </c>
      <c r="E15" s="9">
        <v>12.59556759853799</v>
      </c>
    </row>
    <row r="16" spans="1:26">
      <c r="A16" s="2">
        <v>42825</v>
      </c>
      <c r="B16" s="9">
        <v>14.18982615717151</v>
      </c>
      <c r="C16" s="9">
        <v>11.174315567188632</v>
      </c>
      <c r="D16" s="9">
        <v>7.3096017147463002</v>
      </c>
      <c r="E16" s="9">
        <v>13.729231457534347</v>
      </c>
    </row>
    <row r="17" spans="1:5">
      <c r="A17" s="2">
        <v>42916</v>
      </c>
      <c r="B17" s="9">
        <v>13.501272208987613</v>
      </c>
      <c r="C17" s="9">
        <v>10.414622028570557</v>
      </c>
      <c r="D17" s="9">
        <v>7.100009104920038</v>
      </c>
      <c r="E17" s="9">
        <v>13.562901294315537</v>
      </c>
    </row>
    <row r="18" spans="1:5">
      <c r="A18" s="2">
        <v>43008</v>
      </c>
      <c r="B18" s="9">
        <v>12.791414918385859</v>
      </c>
      <c r="C18" s="9">
        <v>11.066612701697171</v>
      </c>
      <c r="D18" s="9">
        <v>7.1878955796035191</v>
      </c>
      <c r="E18" s="9">
        <v>13.344743634134765</v>
      </c>
    </row>
    <row r="19" spans="1:5">
      <c r="A19" s="2">
        <v>43100</v>
      </c>
      <c r="B19" s="9">
        <v>12.074386225706384</v>
      </c>
      <c r="C19" s="9">
        <v>10.644672963404819</v>
      </c>
      <c r="D19" s="9">
        <v>6.0438881303139009</v>
      </c>
      <c r="E19" s="9">
        <v>13.139224877562841</v>
      </c>
    </row>
    <row r="20" spans="1:5">
      <c r="A20" s="2">
        <v>43190</v>
      </c>
      <c r="B20" s="9">
        <v>13.80358412304639</v>
      </c>
      <c r="C20" s="9">
        <v>10.567446430059857</v>
      </c>
      <c r="D20" s="9">
        <v>6.7524740819046301</v>
      </c>
      <c r="E20" s="9">
        <v>13.042664369031561</v>
      </c>
    </row>
    <row r="21" spans="1:5">
      <c r="A21" s="2">
        <v>43281</v>
      </c>
      <c r="B21" s="9">
        <v>16.456073664175019</v>
      </c>
      <c r="C21" s="9">
        <v>12.073715650051716</v>
      </c>
      <c r="D21" s="9">
        <v>7.2217398555072378</v>
      </c>
      <c r="E21" s="9">
        <v>13.781364732828413</v>
      </c>
    </row>
    <row r="22" spans="1:5">
      <c r="A22" s="2">
        <v>43373</v>
      </c>
      <c r="B22" s="9">
        <v>14.867364098133407</v>
      </c>
      <c r="C22" s="9">
        <v>8.1013746105040561</v>
      </c>
      <c r="D22" s="9">
        <v>7.2491457447490966</v>
      </c>
      <c r="E22" s="9">
        <v>14.300352027765301</v>
      </c>
    </row>
    <row r="23" spans="1:5">
      <c r="A23" s="2">
        <v>43465</v>
      </c>
      <c r="B23" s="9">
        <v>13.955813413070961</v>
      </c>
      <c r="C23" s="9">
        <v>8.2363450771880586</v>
      </c>
      <c r="D23" s="9">
        <v>6.5</v>
      </c>
      <c r="E23" s="9">
        <v>14.770708824606443</v>
      </c>
    </row>
    <row r="24" spans="1:5">
      <c r="A24" s="2">
        <v>43555</v>
      </c>
      <c r="B24" s="9">
        <v>14.318002524840198</v>
      </c>
      <c r="C24" s="9">
        <v>7.8991612616242746</v>
      </c>
      <c r="D24" s="9">
        <v>6.8</v>
      </c>
      <c r="E24" s="9">
        <v>14.899313425054897</v>
      </c>
    </row>
    <row r="25" spans="1:5">
      <c r="A25" s="2">
        <v>43646</v>
      </c>
      <c r="B25" s="9">
        <v>13.903674406802994</v>
      </c>
      <c r="C25" s="9">
        <v>9.7071022870959247</v>
      </c>
      <c r="D25" s="9">
        <v>7</v>
      </c>
      <c r="E25" s="9">
        <v>14.26121361071189</v>
      </c>
    </row>
    <row r="26" spans="1:5">
      <c r="A26" s="2">
        <v>43738</v>
      </c>
      <c r="B26" s="9">
        <v>12.755030387397884</v>
      </c>
      <c r="C26" s="9">
        <v>3.1967301081690276</v>
      </c>
      <c r="D26" s="9">
        <v>6.6</v>
      </c>
      <c r="E26" s="9">
        <v>13.733130183028008</v>
      </c>
    </row>
    <row r="27" spans="1:5">
      <c r="A27" s="2">
        <v>43830</v>
      </c>
      <c r="B27" s="9">
        <v>12.305095112502668</v>
      </c>
      <c r="C27" s="9">
        <v>10.62845414377319</v>
      </c>
      <c r="D27" s="9">
        <v>5.8</v>
      </c>
      <c r="E27" s="9">
        <v>13.320450607885936</v>
      </c>
    </row>
    <row r="28" spans="1:5">
      <c r="A28" s="2">
        <v>43921</v>
      </c>
      <c r="B28" s="9">
        <v>7.4578769999999999</v>
      </c>
      <c r="C28" s="9">
        <v>2.6258170689180416</v>
      </c>
      <c r="D28" s="9">
        <f>0.0129015217*100</f>
        <v>1.29015217</v>
      </c>
      <c r="E28" s="9">
        <v>11.605420000000001</v>
      </c>
    </row>
    <row r="29" spans="1:5">
      <c r="A29" s="2">
        <v>44012</v>
      </c>
      <c r="B29" s="9">
        <v>7.1754530000000001</v>
      </c>
      <c r="C29" s="9">
        <v>5.1092161320073561</v>
      </c>
      <c r="D29" s="9">
        <v>0.47924198095064002</v>
      </c>
      <c r="E29" s="9">
        <v>9.9233639999999994</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E29"/>
  <sheetViews>
    <sheetView workbookViewId="0">
      <selection activeCell="M17" sqref="M17"/>
    </sheetView>
  </sheetViews>
  <sheetFormatPr defaultRowHeight="15"/>
  <cols>
    <col min="1" max="1" width="10" customWidth="1"/>
    <col min="2" max="2" width="20.5703125" customWidth="1"/>
    <col min="3" max="4" width="20.28515625" customWidth="1"/>
  </cols>
  <sheetData>
    <row r="1" spans="1:5">
      <c r="A1" s="1" t="s">
        <v>0</v>
      </c>
      <c r="B1" t="s">
        <v>73</v>
      </c>
    </row>
    <row r="2" spans="1:5">
      <c r="A2" s="1" t="s">
        <v>1</v>
      </c>
      <c r="B2" t="s">
        <v>4</v>
      </c>
    </row>
    <row r="3" spans="1:5">
      <c r="A3" s="1" t="s">
        <v>2</v>
      </c>
      <c r="B3" t="s">
        <v>68</v>
      </c>
    </row>
    <row r="4" spans="1:5">
      <c r="A4" s="1" t="s">
        <v>3</v>
      </c>
      <c r="B4" s="34" t="s">
        <v>112</v>
      </c>
    </row>
    <row r="7" spans="1:5">
      <c r="A7" s="3"/>
      <c r="B7" s="5" t="s">
        <v>5</v>
      </c>
      <c r="C7" s="5" t="s">
        <v>6</v>
      </c>
      <c r="D7" s="5" t="s">
        <v>7</v>
      </c>
      <c r="E7" s="8" t="s">
        <v>37</v>
      </c>
    </row>
    <row r="8" spans="1:5">
      <c r="A8" s="2">
        <v>42094</v>
      </c>
      <c r="B8" s="9">
        <v>44.166930836451733</v>
      </c>
      <c r="C8" s="9">
        <v>43.194940253387834</v>
      </c>
      <c r="D8" s="9">
        <v>60.927604970000004</v>
      </c>
      <c r="E8" s="9">
        <v>45.476839787029263</v>
      </c>
    </row>
    <row r="9" spans="1:5">
      <c r="A9" s="2">
        <v>42185</v>
      </c>
      <c r="B9" s="9">
        <v>45.017662548234277</v>
      </c>
      <c r="C9" s="9">
        <v>47.91811605005114</v>
      </c>
      <c r="D9" s="9">
        <v>59.311574159999999</v>
      </c>
      <c r="E9" s="9">
        <v>44.30332880319974</v>
      </c>
    </row>
    <row r="10" spans="1:5">
      <c r="A10" s="2">
        <v>42277</v>
      </c>
      <c r="B10" s="9">
        <v>45.128993046979552</v>
      </c>
      <c r="C10" s="9">
        <v>49.292463467407842</v>
      </c>
      <c r="D10" s="9">
        <v>59.938106840000003</v>
      </c>
      <c r="E10" s="9">
        <v>44.502578022068704</v>
      </c>
    </row>
    <row r="11" spans="1:5">
      <c r="A11" s="2">
        <v>42369</v>
      </c>
      <c r="B11" s="9">
        <v>45.112211844947637</v>
      </c>
      <c r="C11" s="9">
        <v>50.604610973742197</v>
      </c>
      <c r="D11" s="9">
        <v>62.805818199999997</v>
      </c>
      <c r="E11" s="9">
        <v>44.856449569153298</v>
      </c>
    </row>
    <row r="12" spans="1:5">
      <c r="A12" s="2">
        <v>42460</v>
      </c>
      <c r="B12" s="9">
        <v>49.522522847709745</v>
      </c>
      <c r="C12" s="9">
        <v>49.176589012116779</v>
      </c>
      <c r="D12" s="9">
        <v>65.996790860000004</v>
      </c>
      <c r="E12" s="9">
        <v>46.195347571967801</v>
      </c>
    </row>
    <row r="13" spans="1:5">
      <c r="A13" s="2">
        <v>42551</v>
      </c>
      <c r="B13" s="9">
        <v>44.875854771411809</v>
      </c>
      <c r="C13" s="9">
        <v>49.801271567094417</v>
      </c>
      <c r="D13" s="9">
        <v>62.684163739999995</v>
      </c>
      <c r="E13" s="9">
        <v>46.159895627762189</v>
      </c>
    </row>
    <row r="14" spans="1:5">
      <c r="A14" s="2">
        <v>42643</v>
      </c>
      <c r="B14" s="9">
        <v>44.009710711134112</v>
      </c>
      <c r="C14" s="9">
        <v>47.152817980411236</v>
      </c>
      <c r="D14" s="9">
        <v>63.026307329999995</v>
      </c>
      <c r="E14" s="9">
        <v>45.880075043800822</v>
      </c>
    </row>
    <row r="15" spans="1:5">
      <c r="A15" s="2">
        <v>42735</v>
      </c>
      <c r="B15" s="9">
        <v>43.933095044143769</v>
      </c>
      <c r="C15" s="9">
        <v>49.075049295785725</v>
      </c>
      <c r="D15" s="9">
        <v>65.706389669999993</v>
      </c>
      <c r="E15" s="9">
        <v>45.585295843599859</v>
      </c>
    </row>
    <row r="16" spans="1:5">
      <c r="A16" s="2">
        <v>42825</v>
      </c>
      <c r="B16" s="9">
        <v>43.2908822960731</v>
      </c>
      <c r="C16" s="9">
        <v>48.159234478650838</v>
      </c>
      <c r="D16" s="9">
        <v>63.895539496289288</v>
      </c>
      <c r="E16" s="9">
        <v>44.027385705690698</v>
      </c>
    </row>
    <row r="17" spans="1:5">
      <c r="A17" s="2">
        <v>42916</v>
      </c>
      <c r="B17" s="9">
        <v>43.338333641413826</v>
      </c>
      <c r="C17" s="9">
        <v>50.670916256536742</v>
      </c>
      <c r="D17" s="9">
        <v>61.555518731322721</v>
      </c>
      <c r="E17" s="9">
        <v>43.643005423191198</v>
      </c>
    </row>
    <row r="18" spans="1:5">
      <c r="A18" s="2">
        <v>43008</v>
      </c>
      <c r="B18" s="9">
        <v>42.798249469888447</v>
      </c>
      <c r="C18" s="9">
        <v>48.640361809385489</v>
      </c>
      <c r="D18" s="9">
        <v>61.706182119654187</v>
      </c>
      <c r="E18" s="9">
        <v>43.34014011287978</v>
      </c>
    </row>
    <row r="19" spans="1:5">
      <c r="A19" s="2">
        <v>43100</v>
      </c>
      <c r="B19" s="9">
        <v>43.933978155719245</v>
      </c>
      <c r="C19" s="9">
        <v>52.330286472046275</v>
      </c>
      <c r="D19" s="9">
        <v>63.351302698906494</v>
      </c>
      <c r="E19" s="9">
        <v>43.340360890773653</v>
      </c>
    </row>
    <row r="20" spans="1:5">
      <c r="A20" s="2">
        <v>43190</v>
      </c>
      <c r="B20" s="9">
        <v>43.026144206909592</v>
      </c>
      <c r="C20" s="9">
        <v>50.125583914953793</v>
      </c>
      <c r="D20" s="9">
        <v>65.016477733088593</v>
      </c>
      <c r="E20" s="9">
        <v>43.274176368482777</v>
      </c>
    </row>
    <row r="21" spans="1:5">
      <c r="A21" s="2">
        <v>43281</v>
      </c>
      <c r="B21" s="9">
        <v>40.460204748864641</v>
      </c>
      <c r="C21" s="9">
        <v>51.165821845276952</v>
      </c>
      <c r="D21" s="9">
        <v>63.75496420404437</v>
      </c>
      <c r="E21" s="9">
        <v>42.554644145345485</v>
      </c>
    </row>
    <row r="22" spans="1:5">
      <c r="A22" s="2">
        <v>43373</v>
      </c>
      <c r="B22" s="9">
        <v>41.206577820518895</v>
      </c>
      <c r="C22" s="9">
        <v>52.789264102162392</v>
      </c>
      <c r="D22" s="9">
        <v>63.197745544473079</v>
      </c>
      <c r="E22" s="9">
        <v>42.156726233003091</v>
      </c>
    </row>
    <row r="23" spans="1:5">
      <c r="A23" s="2">
        <v>43465</v>
      </c>
      <c r="B23" s="9">
        <v>41.93370757083332</v>
      </c>
      <c r="C23" s="9">
        <v>58.754746818802104</v>
      </c>
      <c r="D23" s="9">
        <v>64.599999999999994</v>
      </c>
      <c r="E23" s="9">
        <v>41.656658586781617</v>
      </c>
    </row>
    <row r="24" spans="1:5">
      <c r="A24" s="2">
        <v>43555</v>
      </c>
      <c r="B24" s="9">
        <v>38.681926297817256</v>
      </c>
      <c r="C24" s="9">
        <v>53.982715981461574</v>
      </c>
      <c r="D24" s="9">
        <v>66.3</v>
      </c>
      <c r="E24" s="9">
        <v>40.57060410950853</v>
      </c>
    </row>
    <row r="25" spans="1:5">
      <c r="A25" s="2">
        <v>43646</v>
      </c>
      <c r="B25" s="9">
        <v>40.068231335506312</v>
      </c>
      <c r="C25" s="9">
        <v>58.242698921960141</v>
      </c>
      <c r="D25" s="9">
        <v>64.099999999999994</v>
      </c>
      <c r="E25" s="9">
        <v>40.472610756168947</v>
      </c>
    </row>
    <row r="26" spans="1:5">
      <c r="A26" s="2">
        <v>43738</v>
      </c>
      <c r="B26" s="9">
        <v>42.099588922463234</v>
      </c>
      <c r="C26" s="9">
        <v>75.255737644621377</v>
      </c>
      <c r="D26" s="9">
        <v>63.2</v>
      </c>
      <c r="E26" s="9">
        <v>40.695863531655036</v>
      </c>
    </row>
    <row r="27" spans="1:5">
      <c r="A27" s="2">
        <v>43830</v>
      </c>
      <c r="B27" s="9">
        <v>42.167397364173326</v>
      </c>
      <c r="C27" s="9">
        <v>53.534708951128081</v>
      </c>
      <c r="D27" s="9">
        <v>64</v>
      </c>
      <c r="E27" s="9">
        <v>40.75428597999003</v>
      </c>
    </row>
    <row r="28" spans="1:5">
      <c r="A28" s="2">
        <v>43921</v>
      </c>
      <c r="B28" s="9">
        <v>47.522116693485799</v>
      </c>
      <c r="C28" s="9">
        <v>58.11661076317516</v>
      </c>
      <c r="D28" s="9">
        <v>71.7</v>
      </c>
      <c r="E28" s="9">
        <v>42.964333578907166</v>
      </c>
    </row>
    <row r="29" spans="1:5">
      <c r="A29" s="2">
        <v>44012</v>
      </c>
      <c r="B29" s="9">
        <v>46.484292613099989</v>
      </c>
      <c r="C29" s="9">
        <v>53.992238326663781</v>
      </c>
      <c r="D29" s="9">
        <v>66.670883395688989</v>
      </c>
      <c r="E29" s="9">
        <v>44.568348898305587</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D30"/>
  <sheetViews>
    <sheetView workbookViewId="0">
      <selection activeCell="D29" sqref="D29"/>
    </sheetView>
  </sheetViews>
  <sheetFormatPr defaultRowHeight="15"/>
  <cols>
    <col min="1" max="1" width="10" customWidth="1"/>
    <col min="2" max="2" width="20.5703125" customWidth="1"/>
    <col min="3" max="3" width="20.28515625" customWidth="1"/>
  </cols>
  <sheetData>
    <row r="1" spans="1:3">
      <c r="A1" s="1" t="s">
        <v>0</v>
      </c>
      <c r="B1" t="s">
        <v>72</v>
      </c>
    </row>
    <row r="2" spans="1:3">
      <c r="A2" s="1" t="s">
        <v>1</v>
      </c>
      <c r="B2" t="s">
        <v>29</v>
      </c>
    </row>
    <row r="3" spans="1:3">
      <c r="A3" s="1" t="s">
        <v>2</v>
      </c>
      <c r="B3" t="s">
        <v>9</v>
      </c>
    </row>
    <row r="4" spans="1:3">
      <c r="A4" s="1" t="s">
        <v>3</v>
      </c>
    </row>
    <row r="7" spans="1:3">
      <c r="A7" s="3"/>
      <c r="B7" s="5" t="s">
        <v>30</v>
      </c>
      <c r="C7" s="5" t="s">
        <v>39</v>
      </c>
    </row>
    <row r="8" spans="1:3">
      <c r="A8" s="2">
        <v>42094</v>
      </c>
      <c r="B8" s="9">
        <v>100</v>
      </c>
      <c r="C8" s="9">
        <v>100</v>
      </c>
    </row>
    <row r="9" spans="1:3">
      <c r="A9" s="2">
        <v>42185</v>
      </c>
      <c r="B9" s="9">
        <v>99.986665493409816</v>
      </c>
      <c r="C9" s="9">
        <v>101.91258213465477</v>
      </c>
    </row>
    <row r="10" spans="1:3">
      <c r="A10" s="2">
        <v>42277</v>
      </c>
      <c r="B10" s="9">
        <v>97.973164017423571</v>
      </c>
      <c r="C10" s="9">
        <v>100.10725567744933</v>
      </c>
    </row>
    <row r="11" spans="1:3">
      <c r="A11" s="2">
        <v>42369</v>
      </c>
      <c r="B11" s="9">
        <v>99.305407630416624</v>
      </c>
      <c r="C11" s="9">
        <v>101.43078773032845</v>
      </c>
    </row>
    <row r="12" spans="1:3">
      <c r="A12" s="2">
        <v>42460</v>
      </c>
      <c r="B12" s="9">
        <v>94.942501206019486</v>
      </c>
      <c r="C12" s="9">
        <v>106.45503538845267</v>
      </c>
    </row>
    <row r="13" spans="1:3">
      <c r="A13" s="2">
        <v>42551</v>
      </c>
      <c r="B13" s="9">
        <v>100.8113698164175</v>
      </c>
      <c r="C13" s="9">
        <v>102.42949431874283</v>
      </c>
    </row>
    <row r="14" spans="1:3">
      <c r="A14" s="2">
        <v>42643</v>
      </c>
      <c r="B14" s="9">
        <v>101.32583521998978</v>
      </c>
      <c r="C14" s="9">
        <v>100.96514770538325</v>
      </c>
    </row>
    <row r="15" spans="1:3">
      <c r="A15" s="2">
        <v>42735</v>
      </c>
      <c r="B15" s="9">
        <v>102.89742824221344</v>
      </c>
      <c r="C15" s="9">
        <v>102.35265184041711</v>
      </c>
    </row>
    <row r="16" spans="1:3">
      <c r="A16" s="2">
        <v>42825</v>
      </c>
      <c r="B16" s="9">
        <v>102.43392183872346</v>
      </c>
      <c r="C16" s="9">
        <v>100.40215087314823</v>
      </c>
    </row>
    <row r="17" spans="1:4">
      <c r="A17" s="2">
        <v>42916</v>
      </c>
      <c r="B17" s="9">
        <v>103.62688120848982</v>
      </c>
      <c r="C17" s="9">
        <v>101.6827809173051</v>
      </c>
    </row>
    <row r="18" spans="1:4">
      <c r="A18" s="2">
        <v>43008</v>
      </c>
      <c r="B18" s="9">
        <v>103.7794485243591</v>
      </c>
      <c r="C18" s="9">
        <v>100.5634451766627</v>
      </c>
    </row>
    <row r="19" spans="1:4">
      <c r="A19" s="2">
        <v>43100</v>
      </c>
      <c r="B19" s="9">
        <v>106.01801944073365</v>
      </c>
      <c r="C19" s="9">
        <v>105.45884130978949</v>
      </c>
    </row>
    <row r="20" spans="1:4">
      <c r="A20" s="2">
        <v>43190</v>
      </c>
      <c r="B20" s="9">
        <v>107.76044638995405</v>
      </c>
      <c r="C20" s="9">
        <v>104.97710432594778</v>
      </c>
    </row>
    <row r="21" spans="1:4">
      <c r="A21" s="2">
        <v>43281</v>
      </c>
      <c r="B21" s="9">
        <v>116.12793719687993</v>
      </c>
      <c r="C21" s="9">
        <v>106.38185690211586</v>
      </c>
    </row>
    <row r="22" spans="1:4">
      <c r="A22" s="2">
        <v>43373</v>
      </c>
      <c r="B22" s="9">
        <v>113.6726342590563</v>
      </c>
      <c r="C22" s="9">
        <v>106.05356000406869</v>
      </c>
    </row>
    <row r="23" spans="1:4">
      <c r="A23" s="2">
        <v>43465</v>
      </c>
      <c r="B23" s="9">
        <v>113.22494369935147</v>
      </c>
      <c r="C23" s="9">
        <v>107.49992333391012</v>
      </c>
    </row>
    <row r="24" spans="1:4">
      <c r="A24" s="2">
        <v>43555</v>
      </c>
      <c r="B24" s="9">
        <v>114.16336385154189</v>
      </c>
      <c r="C24" s="9">
        <v>99.985639544860291</v>
      </c>
    </row>
    <row r="25" spans="1:4">
      <c r="A25" s="2">
        <v>43646</v>
      </c>
      <c r="B25" s="9">
        <v>116.06241189147315</v>
      </c>
      <c r="C25" s="9">
        <v>105.29179820632446</v>
      </c>
    </row>
    <row r="26" spans="1:4">
      <c r="A26" s="2">
        <v>43738</v>
      </c>
      <c r="B26" s="9">
        <v>115.04453164251147</v>
      </c>
      <c r="C26" s="9">
        <v>109.65958915872336</v>
      </c>
    </row>
    <row r="27" spans="1:4">
      <c r="A27" s="2">
        <v>43830</v>
      </c>
      <c r="B27" s="9">
        <v>117.44329746751703</v>
      </c>
      <c r="C27" s="9">
        <v>112.12638275477364</v>
      </c>
    </row>
    <row r="28" spans="1:4">
      <c r="A28" s="2">
        <v>43921</v>
      </c>
      <c r="B28" s="9">
        <v>106.2382312718354</v>
      </c>
      <c r="C28" s="9">
        <f>1.14308726646746*100</f>
        <v>114.30872664674601</v>
      </c>
    </row>
    <row r="29" spans="1:4">
      <c r="A29" s="2">
        <v>44012</v>
      </c>
      <c r="B29" s="9">
        <v>110.35751563235685</v>
      </c>
      <c r="C29" s="9">
        <f>1.16147781871124*100</f>
        <v>116.147781871124</v>
      </c>
      <c r="D29" s="9"/>
    </row>
    <row r="30" spans="1:4">
      <c r="B30" s="9"/>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D29"/>
  <sheetViews>
    <sheetView workbookViewId="0">
      <selection activeCell="M31" sqref="M31"/>
    </sheetView>
  </sheetViews>
  <sheetFormatPr defaultRowHeight="15"/>
  <cols>
    <col min="1" max="1" width="10" customWidth="1"/>
    <col min="2" max="2" width="20.5703125" customWidth="1"/>
    <col min="3" max="4" width="20.28515625" customWidth="1"/>
  </cols>
  <sheetData>
    <row r="1" spans="1:4">
      <c r="A1" s="1" t="s">
        <v>0</v>
      </c>
      <c r="B1" t="s">
        <v>71</v>
      </c>
    </row>
    <row r="2" spans="1:4">
      <c r="A2" s="1" t="s">
        <v>1</v>
      </c>
      <c r="B2" t="s">
        <v>4</v>
      </c>
    </row>
    <row r="3" spans="1:4">
      <c r="A3" s="1" t="s">
        <v>2</v>
      </c>
      <c r="B3" t="s">
        <v>68</v>
      </c>
    </row>
    <row r="4" spans="1:4">
      <c r="A4" s="1" t="s">
        <v>3</v>
      </c>
      <c r="B4" t="s">
        <v>85</v>
      </c>
    </row>
    <row r="7" spans="1:4">
      <c r="A7" s="3"/>
      <c r="B7" s="5" t="s">
        <v>5</v>
      </c>
      <c r="C7" s="5" t="s">
        <v>6</v>
      </c>
      <c r="D7" s="5" t="s">
        <v>7</v>
      </c>
    </row>
    <row r="8" spans="1:4">
      <c r="A8" s="2">
        <v>42094</v>
      </c>
      <c r="B8" s="4">
        <v>1.3620271871324341</v>
      </c>
      <c r="C8" s="4">
        <v>1.8038326418702888</v>
      </c>
      <c r="D8" s="4">
        <v>1.5504862899999998</v>
      </c>
    </row>
    <row r="9" spans="1:4">
      <c r="A9" s="2">
        <v>42185</v>
      </c>
      <c r="B9" s="4">
        <v>1.3266896154008829</v>
      </c>
      <c r="C9" s="4">
        <v>1.8196778744063391</v>
      </c>
      <c r="D9" s="4">
        <v>1.57343301</v>
      </c>
    </row>
    <row r="10" spans="1:4">
      <c r="A10" s="2">
        <v>42277</v>
      </c>
      <c r="B10" s="4">
        <v>1.3245240278377515</v>
      </c>
      <c r="C10" s="4">
        <v>1.8272063160296326</v>
      </c>
      <c r="D10" s="4">
        <v>1.5728104400000003</v>
      </c>
    </row>
    <row r="11" spans="1:4">
      <c r="A11" s="2">
        <v>42369</v>
      </c>
      <c r="B11" s="4">
        <v>1.3790044791431235</v>
      </c>
      <c r="C11" s="4">
        <v>1.7949466108352061</v>
      </c>
      <c r="D11" s="4">
        <v>1.5978842499999999</v>
      </c>
    </row>
    <row r="12" spans="1:4">
      <c r="A12" s="2">
        <v>42460</v>
      </c>
      <c r="B12" s="4">
        <v>1.2950035573686363</v>
      </c>
      <c r="C12" s="4">
        <v>1.7380358596272905</v>
      </c>
      <c r="D12" s="4">
        <v>1.50049952</v>
      </c>
    </row>
    <row r="13" spans="1:4">
      <c r="A13" s="2">
        <v>42551</v>
      </c>
      <c r="B13" s="4">
        <v>1.2686199368882489</v>
      </c>
      <c r="C13" s="4">
        <v>1.6868968888122255</v>
      </c>
      <c r="D13" s="4">
        <v>1.4869526900000001</v>
      </c>
    </row>
    <row r="14" spans="1:4">
      <c r="A14" s="2">
        <v>42643</v>
      </c>
      <c r="B14" s="4">
        <v>1.2539360737610221</v>
      </c>
      <c r="C14" s="4">
        <v>1.7150183716916612</v>
      </c>
      <c r="D14" s="4">
        <v>1.4832542900000001</v>
      </c>
    </row>
    <row r="15" spans="1:4">
      <c r="A15" s="2">
        <v>42735</v>
      </c>
      <c r="B15" s="4">
        <v>1.3323932106159193</v>
      </c>
      <c r="C15" s="4">
        <v>1.7206074601414263</v>
      </c>
      <c r="D15" s="4">
        <v>1.49616887</v>
      </c>
    </row>
    <row r="16" spans="1:4">
      <c r="A16" s="2">
        <v>42825</v>
      </c>
      <c r="B16" s="4">
        <v>1.2736985987672955</v>
      </c>
      <c r="C16" s="4">
        <v>1.7022447730048129</v>
      </c>
      <c r="D16" s="4">
        <v>1.4619044685911404</v>
      </c>
    </row>
    <row r="17" spans="1:4">
      <c r="A17" s="2">
        <v>42916</v>
      </c>
      <c r="B17" s="4">
        <v>1.3101072106391463</v>
      </c>
      <c r="C17" s="4">
        <v>1.7166573684504476</v>
      </c>
      <c r="D17" s="4">
        <v>1.4592783530930629</v>
      </c>
    </row>
    <row r="18" spans="1:4">
      <c r="A18" s="2">
        <v>43008</v>
      </c>
      <c r="B18" s="4">
        <v>1.2791543979517306</v>
      </c>
      <c r="C18" s="4">
        <v>1.7171696150700813</v>
      </c>
      <c r="D18" s="4">
        <v>1.4513488246273711</v>
      </c>
    </row>
    <row r="19" spans="1:4">
      <c r="A19" s="2">
        <v>43100</v>
      </c>
      <c r="B19" s="4">
        <v>1.3520879509535375</v>
      </c>
      <c r="C19" s="4">
        <v>1.7267785171906653</v>
      </c>
      <c r="D19" s="4">
        <v>1.4701098268944108</v>
      </c>
    </row>
    <row r="20" spans="1:4">
      <c r="A20" s="2">
        <v>43190</v>
      </c>
      <c r="B20" s="4">
        <v>1.320288860195745</v>
      </c>
      <c r="C20" s="4">
        <v>1.70123494508163</v>
      </c>
      <c r="D20" s="4">
        <v>1.4359210719274844</v>
      </c>
    </row>
    <row r="21" spans="1:4">
      <c r="A21" s="2">
        <v>43281</v>
      </c>
      <c r="B21" s="4">
        <v>1.2946259103315381</v>
      </c>
      <c r="C21" s="4">
        <v>1.6565214792880918</v>
      </c>
      <c r="D21" s="4">
        <v>1.4350062263119607</v>
      </c>
    </row>
    <row r="22" spans="1:4">
      <c r="A22" s="2">
        <v>43373</v>
      </c>
      <c r="B22" s="4">
        <v>1.3199619958753865</v>
      </c>
      <c r="C22" s="4">
        <v>1.6066873377999675</v>
      </c>
      <c r="D22" s="4">
        <v>1.4397347540951952</v>
      </c>
    </row>
    <row r="23" spans="1:4">
      <c r="A23" s="2">
        <v>43465</v>
      </c>
      <c r="B23" s="4">
        <v>1.3537775814438875</v>
      </c>
      <c r="C23" s="4">
        <v>1.6578410919058386</v>
      </c>
      <c r="D23" s="4">
        <v>1.5</v>
      </c>
    </row>
    <row r="24" spans="1:4">
      <c r="A24" s="2">
        <v>43555</v>
      </c>
      <c r="B24" s="4">
        <v>1.3042344845985403</v>
      </c>
      <c r="C24" s="4">
        <v>1.58294763620297</v>
      </c>
      <c r="D24" s="4">
        <v>1.4</v>
      </c>
    </row>
    <row r="25" spans="1:4">
      <c r="A25" s="2">
        <v>43646</v>
      </c>
      <c r="B25" s="4">
        <v>1.3059753650636554</v>
      </c>
      <c r="C25" s="4">
        <v>1.5767317462216059</v>
      </c>
      <c r="D25" s="4">
        <v>1.4</v>
      </c>
    </row>
    <row r="26" spans="1:4">
      <c r="A26" s="2">
        <v>43738</v>
      </c>
      <c r="B26" s="4">
        <v>1.3040792048589382</v>
      </c>
      <c r="C26" s="4">
        <v>1.5437179385941997</v>
      </c>
      <c r="D26" s="4">
        <v>1.4</v>
      </c>
    </row>
    <row r="27" spans="1:4">
      <c r="A27" s="2">
        <v>43830</v>
      </c>
      <c r="B27" s="4">
        <v>1.3628052478413162</v>
      </c>
      <c r="C27" s="4">
        <v>1.5409999738790874</v>
      </c>
      <c r="D27" s="4">
        <v>1.45</v>
      </c>
    </row>
    <row r="28" spans="1:4">
      <c r="A28" s="2">
        <v>43921</v>
      </c>
      <c r="B28" s="4">
        <f>0.0130490366985633*100</f>
        <v>1.3049036698563299</v>
      </c>
      <c r="C28" s="4">
        <v>1.5867114776854736</v>
      </c>
      <c r="D28" s="4">
        <v>1.4</v>
      </c>
    </row>
    <row r="29" spans="1:4">
      <c r="A29" s="2">
        <v>44012</v>
      </c>
      <c r="B29" s="4">
        <f>0.0138627631666299*100</f>
        <v>1.3862763166629899</v>
      </c>
      <c r="C29" s="4">
        <v>1.5558358646327843</v>
      </c>
      <c r="D29" s="4">
        <v>1.3448593593964899</v>
      </c>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O29"/>
  <sheetViews>
    <sheetView workbookViewId="0">
      <selection activeCell="E29" sqref="E29"/>
    </sheetView>
  </sheetViews>
  <sheetFormatPr defaultRowHeight="15"/>
  <cols>
    <col min="1" max="1" width="10" customWidth="1"/>
    <col min="2" max="2" width="20.5703125" customWidth="1"/>
    <col min="3" max="4" width="20.28515625" customWidth="1"/>
    <col min="13" max="13" width="11.85546875" customWidth="1"/>
  </cols>
  <sheetData>
    <row r="1" spans="1:15">
      <c r="A1" s="1" t="s">
        <v>0</v>
      </c>
      <c r="B1" t="s">
        <v>70</v>
      </c>
    </row>
    <row r="2" spans="1:15">
      <c r="A2" s="1" t="s">
        <v>1</v>
      </c>
      <c r="B2" t="s">
        <v>16</v>
      </c>
    </row>
    <row r="3" spans="1:15">
      <c r="A3" s="1" t="s">
        <v>2</v>
      </c>
      <c r="B3" t="s">
        <v>9</v>
      </c>
    </row>
    <row r="4" spans="1:15">
      <c r="A4" s="1" t="s">
        <v>3</v>
      </c>
      <c r="B4" t="s">
        <v>31</v>
      </c>
    </row>
    <row r="6" spans="1:15">
      <c r="L6" s="13"/>
      <c r="O6" s="13"/>
    </row>
    <row r="7" spans="1:15">
      <c r="A7" s="3"/>
      <c r="B7" s="5" t="s">
        <v>32</v>
      </c>
      <c r="C7" s="5" t="s">
        <v>17</v>
      </c>
      <c r="D7" s="5" t="s">
        <v>18</v>
      </c>
      <c r="E7" s="5" t="s">
        <v>21</v>
      </c>
      <c r="L7" s="13"/>
      <c r="O7" s="13"/>
    </row>
    <row r="8" spans="1:15">
      <c r="A8" s="2">
        <v>42094</v>
      </c>
      <c r="B8" s="12">
        <f>C8+D8+E8</f>
        <v>4229.4487024089995</v>
      </c>
      <c r="C8" s="12">
        <v>2074.5708502279999</v>
      </c>
      <c r="D8" s="12">
        <v>2019.308944165</v>
      </c>
      <c r="E8" s="12">
        <v>135.56890801599999</v>
      </c>
      <c r="J8" s="13"/>
      <c r="L8" s="13"/>
      <c r="M8" s="13"/>
      <c r="O8" s="13"/>
    </row>
    <row r="9" spans="1:15">
      <c r="A9" s="2">
        <v>42185</v>
      </c>
      <c r="B9" s="12">
        <f t="shared" ref="B9:B28" si="0">C9+D9+E9</f>
        <v>4303.3710971295413</v>
      </c>
      <c r="C9" s="12">
        <v>2127.4945231900738</v>
      </c>
      <c r="D9" s="12">
        <v>2036.762034758915</v>
      </c>
      <c r="E9" s="12">
        <v>139.11453918055204</v>
      </c>
      <c r="J9" s="13"/>
      <c r="L9" s="13"/>
      <c r="M9" s="13"/>
      <c r="O9" s="13"/>
    </row>
    <row r="10" spans="1:15">
      <c r="A10" s="2">
        <v>42277</v>
      </c>
      <c r="B10" s="12">
        <f t="shared" si="0"/>
        <v>4334.2726023449632</v>
      </c>
      <c r="C10" s="12">
        <v>2172.8408582547131</v>
      </c>
      <c r="D10" s="12">
        <v>2023.4628941966391</v>
      </c>
      <c r="E10" s="12">
        <v>137.96884989361098</v>
      </c>
      <c r="J10" s="13"/>
      <c r="L10" s="13"/>
      <c r="M10" s="13"/>
      <c r="O10" s="13"/>
    </row>
    <row r="11" spans="1:15">
      <c r="A11" s="2">
        <v>42369</v>
      </c>
      <c r="B11" s="12">
        <f t="shared" si="0"/>
        <v>4356.4109839421926</v>
      </c>
      <c r="C11" s="12">
        <v>2196.2316685247433</v>
      </c>
      <c r="D11" s="12">
        <v>2026.4655902791051</v>
      </c>
      <c r="E11" s="12">
        <v>133.71372513834504</v>
      </c>
      <c r="J11" s="13"/>
      <c r="M11" s="13"/>
      <c r="O11" s="13"/>
    </row>
    <row r="12" spans="1:15">
      <c r="A12" s="2">
        <v>42460</v>
      </c>
      <c r="B12" s="12">
        <f t="shared" si="0"/>
        <v>4417.0051916227867</v>
      </c>
      <c r="C12" s="12">
        <v>2216.332048386776</v>
      </c>
      <c r="D12" s="12">
        <v>2067.9244038126203</v>
      </c>
      <c r="E12" s="12">
        <v>132.74873942338999</v>
      </c>
      <c r="J12" s="13"/>
      <c r="L12" s="13"/>
      <c r="M12" s="13"/>
      <c r="O12" s="13"/>
    </row>
    <row r="13" spans="1:15">
      <c r="A13" s="2">
        <v>42551</v>
      </c>
      <c r="B13" s="12">
        <f t="shared" si="0"/>
        <v>4555.3260846616722</v>
      </c>
      <c r="C13" s="12">
        <v>2271.9533996199921</v>
      </c>
      <c r="D13" s="12">
        <v>2147.1553052354325</v>
      </c>
      <c r="E13" s="12">
        <v>136.217379806248</v>
      </c>
      <c r="J13" s="13"/>
      <c r="M13" s="13"/>
      <c r="O13" s="13"/>
    </row>
    <row r="14" spans="1:15">
      <c r="A14" s="2">
        <v>42643</v>
      </c>
      <c r="B14" s="12">
        <f t="shared" si="0"/>
        <v>4659.5117610897978</v>
      </c>
      <c r="C14" s="12">
        <v>2309.2202899506347</v>
      </c>
      <c r="D14" s="12">
        <v>2214.721404599135</v>
      </c>
      <c r="E14" s="12">
        <v>135.57006654002799</v>
      </c>
      <c r="J14" s="13"/>
      <c r="L14" s="13"/>
      <c r="M14" s="13"/>
      <c r="O14" s="13"/>
    </row>
    <row r="15" spans="1:15">
      <c r="A15" s="2">
        <v>42735</v>
      </c>
      <c r="B15" s="12">
        <f t="shared" si="0"/>
        <v>4663.6762659889919</v>
      </c>
      <c r="C15" s="12">
        <v>2344.9263203015489</v>
      </c>
      <c r="D15" s="12">
        <v>2186.7937468961968</v>
      </c>
      <c r="E15" s="12">
        <v>131.95619879124598</v>
      </c>
      <c r="J15" s="13"/>
      <c r="L15" s="13"/>
      <c r="M15" s="13"/>
      <c r="O15" s="13"/>
    </row>
    <row r="16" spans="1:15">
      <c r="A16" s="2">
        <v>42825</v>
      </c>
      <c r="B16" s="12">
        <f t="shared" si="0"/>
        <v>4735.1896990394916</v>
      </c>
      <c r="C16" s="12">
        <v>2373.53147177763</v>
      </c>
      <c r="D16" s="12">
        <v>2228.8094263744238</v>
      </c>
      <c r="E16" s="12">
        <v>132.84880088743802</v>
      </c>
      <c r="J16" s="13"/>
      <c r="L16" s="13"/>
      <c r="M16" s="13"/>
      <c r="O16" s="13"/>
    </row>
    <row r="17" spans="1:15">
      <c r="A17" s="2">
        <v>42916</v>
      </c>
      <c r="B17" s="12">
        <f t="shared" si="0"/>
        <v>4809.5711411256652</v>
      </c>
      <c r="C17" s="12">
        <v>2408.68349859213</v>
      </c>
      <c r="D17" s="12">
        <v>2262.3083392762151</v>
      </c>
      <c r="E17" s="12">
        <v>138.57930325731994</v>
      </c>
      <c r="J17" s="13"/>
      <c r="L17" s="13"/>
      <c r="M17" s="13"/>
      <c r="O17" s="13"/>
    </row>
    <row r="18" spans="1:15">
      <c r="A18" s="2">
        <v>43008</v>
      </c>
      <c r="B18" s="12">
        <f t="shared" si="0"/>
        <v>4859.7815075931385</v>
      </c>
      <c r="C18" s="12">
        <v>2433.9231218049904</v>
      </c>
      <c r="D18" s="12">
        <v>2286.7397295485812</v>
      </c>
      <c r="E18" s="12">
        <v>139.11865623956703</v>
      </c>
      <c r="J18" s="13"/>
      <c r="L18" s="13"/>
      <c r="M18" s="13"/>
      <c r="O18" s="13"/>
    </row>
    <row r="19" spans="1:15">
      <c r="A19" s="2">
        <v>43100</v>
      </c>
      <c r="B19" s="12">
        <f t="shared" si="0"/>
        <v>4872.3479631150894</v>
      </c>
      <c r="C19" s="12">
        <v>2481.3328949930897</v>
      </c>
      <c r="D19" s="12">
        <v>2254.8059897573589</v>
      </c>
      <c r="E19" s="12">
        <v>136.20907836464099</v>
      </c>
      <c r="J19" s="13"/>
      <c r="L19" s="13"/>
      <c r="M19" s="13"/>
      <c r="O19" s="13"/>
    </row>
    <row r="20" spans="1:15">
      <c r="A20" s="2">
        <v>43190</v>
      </c>
      <c r="B20" s="12">
        <f t="shared" si="0"/>
        <v>4946.8469108237505</v>
      </c>
      <c r="C20" s="12">
        <v>2457.9086585800001</v>
      </c>
      <c r="D20" s="12">
        <v>2347.8784842300001</v>
      </c>
      <c r="E20" s="12">
        <v>141.05976801375004</v>
      </c>
      <c r="J20" s="13"/>
      <c r="L20" s="13"/>
      <c r="M20" s="13"/>
      <c r="O20" s="13"/>
    </row>
    <row r="21" spans="1:15">
      <c r="A21" s="2">
        <v>43281</v>
      </c>
      <c r="B21" s="12">
        <f t="shared" si="0"/>
        <v>5077.8979574579198</v>
      </c>
      <c r="C21" s="12">
        <v>2503.863239928</v>
      </c>
      <c r="D21" s="12">
        <v>2429.0446185709998</v>
      </c>
      <c r="E21" s="12">
        <v>144.99009895891999</v>
      </c>
      <c r="J21" s="13"/>
      <c r="L21" s="13"/>
      <c r="M21" s="13"/>
      <c r="O21" s="13"/>
    </row>
    <row r="22" spans="1:15">
      <c r="A22" s="2">
        <v>43373</v>
      </c>
      <c r="B22" s="12">
        <f t="shared" si="0"/>
        <v>5087.6541232151503</v>
      </c>
      <c r="C22" s="12">
        <v>2521.218256183</v>
      </c>
      <c r="D22" s="12">
        <v>2419.988687692</v>
      </c>
      <c r="E22" s="12">
        <v>146.44717934015</v>
      </c>
      <c r="J22" s="13"/>
      <c r="L22" s="13"/>
      <c r="M22" s="13"/>
      <c r="O22" s="13"/>
    </row>
    <row r="23" spans="1:15">
      <c r="A23" s="2">
        <v>43465</v>
      </c>
      <c r="B23" s="12">
        <f t="shared" si="0"/>
        <v>5127.1468664208796</v>
      </c>
      <c r="C23" s="12">
        <v>2558.5645778819999</v>
      </c>
      <c r="D23" s="12">
        <v>2424.4715005319999</v>
      </c>
      <c r="E23" s="12">
        <v>144.11078800687997</v>
      </c>
      <c r="J23" s="13"/>
      <c r="L23" s="13"/>
      <c r="M23" s="13"/>
      <c r="O23" s="13"/>
    </row>
    <row r="24" spans="1:15">
      <c r="A24" s="2">
        <v>43555</v>
      </c>
      <c r="B24" s="12">
        <f t="shared" si="0"/>
        <v>5265.8989290316604</v>
      </c>
      <c r="C24" s="12">
        <v>2637.5423115379999</v>
      </c>
      <c r="D24" s="12">
        <v>2484.5998198829998</v>
      </c>
      <c r="E24" s="12">
        <v>143.75679761065999</v>
      </c>
      <c r="J24" s="13"/>
      <c r="M24" s="13"/>
    </row>
    <row r="25" spans="1:15">
      <c r="A25" s="2">
        <v>43646</v>
      </c>
      <c r="B25" s="12">
        <f t="shared" si="0"/>
        <v>5381.4745142131005</v>
      </c>
      <c r="C25" s="12">
        <v>2671.7935332659999</v>
      </c>
      <c r="D25" s="12">
        <v>2559.1674229550003</v>
      </c>
      <c r="E25" s="12">
        <v>150.51355799210003</v>
      </c>
      <c r="J25" s="13"/>
      <c r="M25" s="13"/>
    </row>
    <row r="26" spans="1:15">
      <c r="A26" s="2">
        <v>43738</v>
      </c>
      <c r="B26" s="12">
        <f t="shared" si="0"/>
        <v>5415.5502769617206</v>
      </c>
      <c r="C26" s="12">
        <v>2699.6993454829999</v>
      </c>
      <c r="D26" s="12">
        <v>2568.842924993</v>
      </c>
      <c r="E26" s="12">
        <v>147.00800648572005</v>
      </c>
    </row>
    <row r="27" spans="1:15">
      <c r="A27" s="2">
        <v>43830</v>
      </c>
      <c r="B27" s="12">
        <f t="shared" si="0"/>
        <v>5384.5270193446104</v>
      </c>
      <c r="C27" s="12">
        <v>2718.6539246870002</v>
      </c>
      <c r="D27" s="12">
        <v>2524.2898174090001</v>
      </c>
      <c r="E27" s="12">
        <v>141.58327724860999</v>
      </c>
    </row>
    <row r="28" spans="1:15">
      <c r="A28" s="2">
        <v>43921</v>
      </c>
      <c r="B28" s="12">
        <f t="shared" si="0"/>
        <v>5545.8053430913105</v>
      </c>
      <c r="C28" s="12">
        <v>2747.3007082570002</v>
      </c>
      <c r="D28" s="12">
        <v>2656.6060901979999</v>
      </c>
      <c r="E28" s="12">
        <v>141.89854463630999</v>
      </c>
    </row>
    <row r="29" spans="1:15">
      <c r="A29" s="2">
        <v>44012</v>
      </c>
      <c r="B29" s="12">
        <f>5438016123462.73/1000000000</f>
        <v>5438.0161234627303</v>
      </c>
      <c r="C29" s="12">
        <f>2754847048893/1000000000</f>
        <v>2754.8470488930002</v>
      </c>
      <c r="D29" s="12">
        <f>2532928746005/1000000000</f>
        <v>2532.928746005</v>
      </c>
      <c r="E29" s="12">
        <f>B29-C29-D29</f>
        <v>150.24032856473013</v>
      </c>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D29"/>
  <sheetViews>
    <sheetView workbookViewId="0">
      <selection activeCell="J24" sqref="J24"/>
    </sheetView>
  </sheetViews>
  <sheetFormatPr defaultRowHeight="15"/>
  <cols>
    <col min="1" max="1" width="10" customWidth="1"/>
    <col min="2" max="2" width="20.5703125" customWidth="1"/>
    <col min="3" max="4" width="20.28515625" customWidth="1"/>
  </cols>
  <sheetData>
    <row r="1" spans="1:4">
      <c r="A1" s="1" t="s">
        <v>0</v>
      </c>
      <c r="B1" t="s">
        <v>69</v>
      </c>
    </row>
    <row r="2" spans="1:4">
      <c r="A2" s="1" t="s">
        <v>1</v>
      </c>
      <c r="B2" t="s">
        <v>4</v>
      </c>
    </row>
    <row r="3" spans="1:4">
      <c r="A3" s="1" t="s">
        <v>2</v>
      </c>
      <c r="B3" t="s">
        <v>68</v>
      </c>
    </row>
    <row r="4" spans="1:4">
      <c r="A4" s="1" t="s">
        <v>3</v>
      </c>
      <c r="B4" t="s">
        <v>85</v>
      </c>
    </row>
    <row r="7" spans="1:4">
      <c r="A7" s="3"/>
      <c r="B7" s="5" t="s">
        <v>5</v>
      </c>
      <c r="C7" s="5" t="s">
        <v>6</v>
      </c>
      <c r="D7" s="5" t="s">
        <v>7</v>
      </c>
    </row>
    <row r="8" spans="1:4">
      <c r="A8" s="2">
        <v>42094</v>
      </c>
      <c r="B8" s="4">
        <v>0.73116782022432636</v>
      </c>
      <c r="C8" s="9">
        <v>1.5038798227115266</v>
      </c>
      <c r="D8" s="9">
        <v>6.2069344600000003</v>
      </c>
    </row>
    <row r="9" spans="1:4">
      <c r="A9" s="2">
        <v>42185</v>
      </c>
      <c r="B9" s="4">
        <v>0.69290656460021272</v>
      </c>
      <c r="C9" s="9">
        <v>1.4378444012743843</v>
      </c>
      <c r="D9" s="9">
        <v>6.0189614200000001</v>
      </c>
    </row>
    <row r="10" spans="1:4">
      <c r="A10" s="2">
        <v>42277</v>
      </c>
      <c r="B10" s="4">
        <v>0.6352477521251374</v>
      </c>
      <c r="C10" s="9">
        <v>1.3176974871142342</v>
      </c>
      <c r="D10" s="9">
        <v>5.8862139000000004</v>
      </c>
    </row>
    <row r="11" spans="1:4">
      <c r="A11" s="2">
        <v>42369</v>
      </c>
      <c r="B11" s="4">
        <v>0.6626106452044318</v>
      </c>
      <c r="C11" s="9">
        <v>1.5592740836927206</v>
      </c>
      <c r="D11" s="9">
        <v>5.73210672</v>
      </c>
    </row>
    <row r="12" spans="1:4">
      <c r="A12" s="2">
        <v>42460</v>
      </c>
      <c r="B12" s="4">
        <v>0.58495444597058799</v>
      </c>
      <c r="C12" s="9">
        <v>1.4853653869596528</v>
      </c>
      <c r="D12" s="9">
        <v>5.63859055</v>
      </c>
    </row>
    <row r="13" spans="1:4">
      <c r="A13" s="2">
        <v>42551</v>
      </c>
      <c r="B13" s="4">
        <v>0.58342182406987364</v>
      </c>
      <c r="C13" s="9">
        <v>1.5399526905490821</v>
      </c>
      <c r="D13" s="9">
        <v>5.4572830099999994</v>
      </c>
    </row>
    <row r="14" spans="1:4">
      <c r="A14" s="2">
        <v>42643</v>
      </c>
      <c r="B14" s="4">
        <v>0.55602476443392357</v>
      </c>
      <c r="C14" s="9">
        <v>1.5693729248673591</v>
      </c>
      <c r="D14" s="9">
        <v>5.40160295</v>
      </c>
    </row>
    <row r="15" spans="1:4">
      <c r="A15" s="2">
        <v>42735</v>
      </c>
      <c r="B15" s="4">
        <v>0.59664561334564925</v>
      </c>
      <c r="C15" s="9">
        <v>1.5837574541062174</v>
      </c>
      <c r="D15" s="9">
        <v>5.1662231699999994</v>
      </c>
    </row>
    <row r="16" spans="1:4">
      <c r="A16" s="2">
        <v>42825</v>
      </c>
      <c r="B16" s="4">
        <v>0.56004087200772668</v>
      </c>
      <c r="C16" s="9">
        <v>1.4425122726213429</v>
      </c>
      <c r="D16" s="9">
        <v>4.8017137766815576</v>
      </c>
    </row>
    <row r="17" spans="1:4">
      <c r="A17" s="2">
        <v>42916</v>
      </c>
      <c r="B17" s="4">
        <v>0.60344345984047076</v>
      </c>
      <c r="C17" s="9">
        <v>1.4009901596579455</v>
      </c>
      <c r="D17" s="9">
        <v>4.442582328348986</v>
      </c>
    </row>
    <row r="18" spans="1:4">
      <c r="A18" s="2">
        <v>43008</v>
      </c>
      <c r="B18" s="4">
        <v>0.61853845437728516</v>
      </c>
      <c r="C18" s="9">
        <v>1.3438337964259608</v>
      </c>
      <c r="D18" s="9">
        <v>4.2294588542903826</v>
      </c>
    </row>
    <row r="19" spans="1:4">
      <c r="A19" s="2">
        <v>43100</v>
      </c>
      <c r="B19" s="4">
        <v>0.60969239372300554</v>
      </c>
      <c r="C19" s="9">
        <v>1.3000985754285022</v>
      </c>
      <c r="D19" s="9">
        <v>4.0509133904470138</v>
      </c>
    </row>
    <row r="20" spans="1:4">
      <c r="A20" s="2">
        <v>43190</v>
      </c>
      <c r="B20" s="4">
        <v>0.6535596986682275</v>
      </c>
      <c r="C20" s="9">
        <v>1.3675781104319971</v>
      </c>
      <c r="D20" s="9">
        <v>3.8413292809596959</v>
      </c>
    </row>
    <row r="21" spans="1:4">
      <c r="A21" s="2">
        <v>43281</v>
      </c>
      <c r="B21" s="4">
        <v>0.6054776963537889</v>
      </c>
      <c r="C21" s="9">
        <v>1.3636436147660929</v>
      </c>
      <c r="D21" s="9">
        <v>3.5839210257165939</v>
      </c>
    </row>
    <row r="22" spans="1:4">
      <c r="A22" s="2">
        <v>43373</v>
      </c>
      <c r="B22" s="4">
        <v>0.59153809712827499</v>
      </c>
      <c r="C22" s="9">
        <v>1.2801074345342023</v>
      </c>
      <c r="D22" s="9">
        <v>3.4117211713508526</v>
      </c>
    </row>
    <row r="23" spans="1:4">
      <c r="A23" s="2">
        <v>43465</v>
      </c>
      <c r="B23" s="4">
        <v>0.59247898458933512</v>
      </c>
      <c r="C23" s="9">
        <v>1.25747189865</v>
      </c>
      <c r="D23" s="9">
        <v>3.2</v>
      </c>
    </row>
    <row r="24" spans="1:4">
      <c r="A24" s="2">
        <v>43555</v>
      </c>
      <c r="B24" s="4">
        <v>0.61076584907140596</v>
      </c>
      <c r="C24" s="9">
        <v>1.1726711233080853</v>
      </c>
      <c r="D24" s="9">
        <v>3.1</v>
      </c>
    </row>
    <row r="25" spans="1:4">
      <c r="A25" s="2">
        <v>43646</v>
      </c>
      <c r="B25" s="4">
        <v>0.64771190730059436</v>
      </c>
      <c r="C25" s="9">
        <v>1.1535757978604644</v>
      </c>
      <c r="D25" s="9">
        <v>3</v>
      </c>
    </row>
    <row r="26" spans="1:4">
      <c r="A26" s="2">
        <v>43738</v>
      </c>
      <c r="B26" s="4">
        <v>0.67360807670944001</v>
      </c>
      <c r="C26" s="9">
        <v>1.2265433190917205</v>
      </c>
      <c r="D26" s="9">
        <v>2.9</v>
      </c>
    </row>
    <row r="27" spans="1:4">
      <c r="A27" s="2">
        <v>43830</v>
      </c>
      <c r="B27" s="4">
        <v>0.69248120911659961</v>
      </c>
      <c r="C27" s="9">
        <v>1.2175855289474757</v>
      </c>
      <c r="D27" s="9">
        <v>2.7</v>
      </c>
    </row>
    <row r="28" spans="1:4">
      <c r="A28" s="2">
        <v>43921</v>
      </c>
      <c r="B28" s="4">
        <f>0.0068360320583295*100</f>
        <v>0.68360320583294998</v>
      </c>
      <c r="C28" s="9">
        <v>1.3850511788110849</v>
      </c>
      <c r="D28" s="9">
        <v>3</v>
      </c>
    </row>
    <row r="29" spans="1:4">
      <c r="A29" s="2">
        <v>44012</v>
      </c>
      <c r="B29" s="4">
        <f>0.714602308355335%*100</f>
        <v>0.714602308355335</v>
      </c>
      <c r="C29" s="9">
        <v>1.398752338194573</v>
      </c>
      <c r="D29" s="9">
        <v>2.8620741488180301</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E29"/>
  <sheetViews>
    <sheetView workbookViewId="0">
      <selection activeCell="D28" sqref="D28"/>
    </sheetView>
  </sheetViews>
  <sheetFormatPr defaultRowHeight="15"/>
  <cols>
    <col min="1" max="1" width="10" customWidth="1"/>
    <col min="2" max="2" width="20.5703125" customWidth="1"/>
    <col min="3" max="3" width="10.5703125" bestFit="1" customWidth="1"/>
    <col min="5" max="5" width="10.42578125" bestFit="1" customWidth="1"/>
  </cols>
  <sheetData>
    <row r="1" spans="1:5">
      <c r="A1" s="1" t="s">
        <v>0</v>
      </c>
      <c r="B1" t="s">
        <v>67</v>
      </c>
    </row>
    <row r="2" spans="1:5">
      <c r="A2" s="1" t="s">
        <v>1</v>
      </c>
      <c r="B2" t="s">
        <v>4</v>
      </c>
    </row>
    <row r="3" spans="1:5">
      <c r="A3" s="1" t="s">
        <v>2</v>
      </c>
      <c r="B3" t="s">
        <v>9</v>
      </c>
    </row>
    <row r="4" spans="1:5">
      <c r="A4" s="1" t="s">
        <v>3</v>
      </c>
      <c r="B4" t="s">
        <v>87</v>
      </c>
    </row>
    <row r="7" spans="1:5">
      <c r="A7" s="3"/>
      <c r="B7" s="5" t="s">
        <v>35</v>
      </c>
      <c r="C7" s="5" t="s">
        <v>38</v>
      </c>
    </row>
    <row r="8" spans="1:5">
      <c r="A8" s="2">
        <v>42094</v>
      </c>
      <c r="B8" s="9">
        <v>10.019429821717235</v>
      </c>
      <c r="C8" s="9">
        <v>10.241108334127082</v>
      </c>
      <c r="E8" s="19"/>
    </row>
    <row r="9" spans="1:5">
      <c r="A9" s="2">
        <v>42185</v>
      </c>
      <c r="B9" s="9">
        <v>8.6978946148654099</v>
      </c>
      <c r="C9" s="9">
        <v>9.7913392004711284</v>
      </c>
    </row>
    <row r="10" spans="1:5">
      <c r="A10" s="2">
        <v>42277</v>
      </c>
      <c r="B10" s="9">
        <v>8.5277033565031779</v>
      </c>
      <c r="C10" s="9">
        <v>9.31691202058561</v>
      </c>
    </row>
    <row r="11" spans="1:5">
      <c r="A11" s="2">
        <v>42369</v>
      </c>
      <c r="B11" s="9">
        <v>9.7259858296536699</v>
      </c>
      <c r="C11" s="9">
        <v>9.2427534056848728</v>
      </c>
    </row>
    <row r="12" spans="1:5">
      <c r="A12" s="2">
        <v>42460</v>
      </c>
      <c r="B12" s="9">
        <v>9.3263682529496315</v>
      </c>
      <c r="C12" s="9">
        <v>9.0694880134929718</v>
      </c>
    </row>
    <row r="13" spans="1:5">
      <c r="A13" s="2">
        <v>42551</v>
      </c>
      <c r="B13" s="9">
        <v>9.3440611692458813</v>
      </c>
      <c r="C13" s="9">
        <v>9.2310296520880897</v>
      </c>
    </row>
    <row r="14" spans="1:5">
      <c r="A14" s="2">
        <v>42643</v>
      </c>
      <c r="B14" s="9">
        <v>9.7157782272827955</v>
      </c>
      <c r="C14" s="9">
        <v>9.5280483697829954</v>
      </c>
    </row>
    <row r="15" spans="1:5">
      <c r="A15" s="2">
        <v>42735</v>
      </c>
      <c r="B15" s="9">
        <v>9.3261174773231392</v>
      </c>
      <c r="C15" s="9">
        <v>9.4280812817003614</v>
      </c>
    </row>
    <row r="16" spans="1:5">
      <c r="A16" s="2">
        <v>42825</v>
      </c>
      <c r="B16" s="9">
        <v>9.0881473530560193</v>
      </c>
      <c r="C16" s="9">
        <v>9.3685260567269584</v>
      </c>
    </row>
    <row r="17" spans="1:3">
      <c r="A17" s="2">
        <v>42916</v>
      </c>
      <c r="B17" s="9">
        <v>9.4021576846881452</v>
      </c>
      <c r="C17" s="9">
        <v>9.3830501855875248</v>
      </c>
    </row>
    <row r="18" spans="1:3">
      <c r="A18" s="2">
        <v>43008</v>
      </c>
      <c r="B18" s="9">
        <v>9.7161799762973633</v>
      </c>
      <c r="C18" s="9">
        <v>9.3831506228411659</v>
      </c>
    </row>
    <row r="19" spans="1:3">
      <c r="A19" s="2">
        <v>43100</v>
      </c>
      <c r="B19" s="9">
        <v>9.2977331794098301</v>
      </c>
      <c r="C19" s="9">
        <v>9.3760545483628395</v>
      </c>
    </row>
    <row r="20" spans="1:3">
      <c r="A20" s="2">
        <v>43190</v>
      </c>
      <c r="B20" s="9">
        <v>9.7929623601703177</v>
      </c>
      <c r="C20" s="9">
        <v>9.5522583001414141</v>
      </c>
    </row>
    <row r="21" spans="1:3">
      <c r="A21" s="2">
        <v>43281</v>
      </c>
      <c r="B21" s="9">
        <v>9.5987108383171087</v>
      </c>
      <c r="C21" s="9">
        <v>9.6013965885486545</v>
      </c>
    </row>
    <row r="22" spans="1:3">
      <c r="A22" s="2">
        <v>43373</v>
      </c>
      <c r="B22" s="9">
        <v>9.0904935525610515</v>
      </c>
      <c r="C22" s="9">
        <v>9.4449749826145784</v>
      </c>
    </row>
    <row r="23" spans="1:3">
      <c r="A23" s="2">
        <v>43465</v>
      </c>
      <c r="B23" s="9">
        <v>6.5519081646112047</v>
      </c>
      <c r="C23" s="9">
        <v>8.75851872891492</v>
      </c>
    </row>
    <row r="24" spans="1:3">
      <c r="A24" s="2">
        <v>43555</v>
      </c>
      <c r="B24" s="9">
        <v>9.2046490643374312</v>
      </c>
      <c r="C24" s="9">
        <v>8.6114404049566993</v>
      </c>
    </row>
    <row r="25" spans="1:3">
      <c r="A25" s="2">
        <v>43646</v>
      </c>
      <c r="B25" s="9">
        <v>8.5951190041005674</v>
      </c>
      <c r="C25" s="9">
        <v>8.3605424464025635</v>
      </c>
    </row>
    <row r="26" spans="1:3">
      <c r="A26" s="2">
        <v>43738</v>
      </c>
      <c r="B26" s="9">
        <v>8.3441491712253661</v>
      </c>
      <c r="C26" s="9">
        <v>8.173956351068643</v>
      </c>
    </row>
    <row r="27" spans="1:3">
      <c r="A27" s="2">
        <v>43830</v>
      </c>
      <c r="B27" s="9">
        <v>7.8620870057546854</v>
      </c>
      <c r="C27" s="9">
        <v>8.5015010613545137</v>
      </c>
    </row>
    <row r="28" spans="1:3">
      <c r="A28" s="2">
        <v>43921</v>
      </c>
      <c r="B28" s="9">
        <f>0.0731588173345385*100</f>
        <v>7.3158817334538497</v>
      </c>
      <c r="C28" s="9">
        <f>0.0802930922863362*100</f>
        <v>8.0293092286336201</v>
      </c>
    </row>
    <row r="29" spans="1:3">
      <c r="A29" s="2">
        <v>44012</v>
      </c>
      <c r="B29" s="9">
        <f>0.0752920155120612*100</f>
        <v>7.5292015512061203</v>
      </c>
      <c r="C29" s="9">
        <f>0.0776282986541001*100</f>
        <v>7.7628298654100103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C26"/>
  <sheetViews>
    <sheetView workbookViewId="0">
      <selection activeCell="C27" sqref="C27"/>
    </sheetView>
  </sheetViews>
  <sheetFormatPr defaultRowHeight="15"/>
  <cols>
    <col min="1" max="1" width="18.140625" bestFit="1" customWidth="1"/>
    <col min="2" max="3" width="18.140625" customWidth="1"/>
  </cols>
  <sheetData>
    <row r="1" spans="1:3">
      <c r="A1" s="1" t="s">
        <v>0</v>
      </c>
      <c r="B1" t="s">
        <v>84</v>
      </c>
    </row>
    <row r="2" spans="1:3">
      <c r="A2" s="1" t="s">
        <v>1</v>
      </c>
      <c r="B2" t="s">
        <v>4</v>
      </c>
    </row>
    <row r="3" spans="1:3">
      <c r="A3" s="1" t="s">
        <v>2</v>
      </c>
      <c r="B3" t="s">
        <v>9</v>
      </c>
    </row>
    <row r="4" spans="1:3">
      <c r="A4" s="1" t="s">
        <v>3</v>
      </c>
      <c r="B4" t="s">
        <v>108</v>
      </c>
    </row>
    <row r="7" spans="1:3">
      <c r="A7" s="3"/>
      <c r="B7" s="5" t="s">
        <v>15</v>
      </c>
      <c r="C7" s="5" t="s">
        <v>11</v>
      </c>
    </row>
    <row r="8" spans="1:3">
      <c r="A8" s="2" t="s">
        <v>100</v>
      </c>
      <c r="B8" s="12">
        <v>5438016123462.7305</v>
      </c>
      <c r="C8" s="7">
        <f t="shared" ref="C8:C15" si="0">B8/$B$15</f>
        <v>0.71248536840024213</v>
      </c>
    </row>
    <row r="9" spans="1:3">
      <c r="A9" s="2" t="s">
        <v>92</v>
      </c>
      <c r="B9" s="20">
        <v>243924029634</v>
      </c>
      <c r="C9" s="7">
        <f t="shared" si="0"/>
        <v>3.1958769185257113E-2</v>
      </c>
    </row>
    <row r="10" spans="1:3">
      <c r="A10" s="2" t="s">
        <v>94</v>
      </c>
      <c r="B10" s="20">
        <v>869282014266.72998</v>
      </c>
      <c r="C10" s="7">
        <f t="shared" si="0"/>
        <v>0.11389276936975237</v>
      </c>
    </row>
    <row r="11" spans="1:3">
      <c r="A11" s="2" t="s">
        <v>101</v>
      </c>
      <c r="B11" s="12">
        <v>52603942456</v>
      </c>
      <c r="C11" s="7">
        <f t="shared" si="0"/>
        <v>6.8921346441692217E-3</v>
      </c>
    </row>
    <row r="12" spans="1:3">
      <c r="A12" s="2" t="s">
        <v>47</v>
      </c>
      <c r="B12" s="12">
        <v>62017503245</v>
      </c>
      <c r="C12" s="7">
        <f t="shared" si="0"/>
        <v>8.1254933129254209E-3</v>
      </c>
    </row>
    <row r="13" spans="1:3">
      <c r="A13" s="2" t="s">
        <v>102</v>
      </c>
      <c r="B13" s="12">
        <v>411449379511</v>
      </c>
      <c r="C13" s="7">
        <f>B13/$B$15</f>
        <v>5.3907832577788965E-2</v>
      </c>
    </row>
    <row r="14" spans="1:3">
      <c r="A14" s="2" t="s">
        <v>103</v>
      </c>
      <c r="B14" s="12">
        <v>555167075584</v>
      </c>
      <c r="C14" s="7">
        <f t="shared" si="0"/>
        <v>7.273763250986473E-2</v>
      </c>
    </row>
    <row r="15" spans="1:3">
      <c r="A15" s="6" t="s">
        <v>14</v>
      </c>
      <c r="B15" s="12">
        <v>7632460068159.4609</v>
      </c>
      <c r="C15" s="7">
        <f t="shared" si="0"/>
        <v>1</v>
      </c>
    </row>
    <row r="16" spans="1:3">
      <c r="A16" s="2"/>
      <c r="B16" s="4"/>
      <c r="C16" s="4"/>
    </row>
    <row r="17" spans="1:3">
      <c r="A17" s="2"/>
      <c r="B17" s="4"/>
      <c r="C17" s="4"/>
    </row>
    <row r="18" spans="1:3">
      <c r="A18" s="2"/>
      <c r="B18" s="4"/>
      <c r="C18" s="4"/>
    </row>
    <row r="19" spans="1:3">
      <c r="A19" s="2"/>
      <c r="B19" s="4"/>
      <c r="C19" s="4"/>
    </row>
    <row r="20" spans="1:3">
      <c r="A20" s="2"/>
      <c r="B20" s="4"/>
      <c r="C20" s="4"/>
    </row>
    <row r="21" spans="1:3">
      <c r="A21" s="2"/>
      <c r="B21" s="4"/>
      <c r="C21" s="4"/>
    </row>
    <row r="22" spans="1:3">
      <c r="A22" s="2"/>
      <c r="B22" s="4"/>
      <c r="C22" s="4"/>
    </row>
    <row r="23" spans="1:3">
      <c r="A23" s="2"/>
      <c r="B23" s="4"/>
      <c r="C23" s="4"/>
    </row>
    <row r="24" spans="1:3">
      <c r="A24" s="2"/>
      <c r="B24" s="4"/>
      <c r="C24" s="4"/>
    </row>
    <row r="25" spans="1:3">
      <c r="A25" s="2"/>
      <c r="B25" s="4"/>
      <c r="C25" s="4"/>
    </row>
    <row r="26" spans="1:3">
      <c r="A26" s="2"/>
      <c r="B26" s="4"/>
      <c r="C26" s="4"/>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M35"/>
  <sheetViews>
    <sheetView workbookViewId="0">
      <selection activeCell="L30" sqref="L30"/>
    </sheetView>
  </sheetViews>
  <sheetFormatPr defaultRowHeight="15"/>
  <cols>
    <col min="1" max="1" width="10" customWidth="1"/>
    <col min="2" max="2" width="20.5703125" customWidth="1"/>
    <col min="3" max="4" width="20.28515625" customWidth="1"/>
    <col min="5" max="5" width="9.5703125" bestFit="1" customWidth="1"/>
  </cols>
  <sheetData>
    <row r="1" spans="1:13">
      <c r="A1" s="1" t="s">
        <v>0</v>
      </c>
      <c r="B1" t="s">
        <v>66</v>
      </c>
    </row>
    <row r="2" spans="1:13">
      <c r="A2" s="1" t="s">
        <v>1</v>
      </c>
      <c r="B2" t="s">
        <v>16</v>
      </c>
    </row>
    <row r="3" spans="1:13">
      <c r="A3" s="1" t="s">
        <v>2</v>
      </c>
      <c r="B3" t="s">
        <v>9</v>
      </c>
    </row>
    <row r="4" spans="1:13">
      <c r="A4" s="1" t="s">
        <v>3</v>
      </c>
      <c r="B4" t="s">
        <v>33</v>
      </c>
    </row>
    <row r="7" spans="1:13">
      <c r="A7" s="3"/>
      <c r="B7" s="5" t="s">
        <v>32</v>
      </c>
      <c r="C7" s="5" t="s">
        <v>17</v>
      </c>
      <c r="D7" s="5" t="s">
        <v>18</v>
      </c>
      <c r="E7" s="5" t="s">
        <v>21</v>
      </c>
    </row>
    <row r="8" spans="1:13">
      <c r="A8" s="2">
        <v>42094</v>
      </c>
      <c r="B8" s="12">
        <f>C8+D8+E8</f>
        <v>638.705060742</v>
      </c>
      <c r="C8" s="12">
        <v>460.32256937699998</v>
      </c>
      <c r="D8" s="12">
        <v>146.53884065599999</v>
      </c>
      <c r="E8" s="12">
        <v>31.843650708999998</v>
      </c>
      <c r="J8" s="13"/>
      <c r="M8" s="13"/>
    </row>
    <row r="9" spans="1:13">
      <c r="A9" s="2">
        <v>42185</v>
      </c>
      <c r="B9" s="12">
        <f t="shared" ref="B9:B28" si="0">C9+D9+E9</f>
        <v>660.7393961330099</v>
      </c>
      <c r="C9" s="12">
        <v>482.71672142380004</v>
      </c>
      <c r="D9" s="12">
        <v>148.95742763779</v>
      </c>
      <c r="E9" s="12">
        <v>29.065247071419922</v>
      </c>
      <c r="J9" s="13"/>
      <c r="M9" s="13"/>
    </row>
    <row r="10" spans="1:13">
      <c r="A10" s="2">
        <v>42277</v>
      </c>
      <c r="B10" s="12">
        <f t="shared" si="0"/>
        <v>674.33004670748005</v>
      </c>
      <c r="C10" s="12">
        <v>497.45454047199001</v>
      </c>
      <c r="D10" s="12">
        <v>149.37149105779</v>
      </c>
      <c r="E10" s="12">
        <v>27.504015177700012</v>
      </c>
      <c r="J10" s="13"/>
      <c r="M10" s="13"/>
    </row>
    <row r="11" spans="1:13">
      <c r="A11" s="2">
        <v>42369</v>
      </c>
      <c r="B11" s="12">
        <f t="shared" si="0"/>
        <v>622.79261419880993</v>
      </c>
      <c r="C11" s="12">
        <v>449.57156451386999</v>
      </c>
      <c r="D11" s="12">
        <v>154.32272043335999</v>
      </c>
      <c r="E11" s="12">
        <v>18.898329251580016</v>
      </c>
      <c r="J11" s="13"/>
      <c r="M11" s="13"/>
    </row>
    <row r="12" spans="1:13">
      <c r="A12" s="2">
        <v>42460</v>
      </c>
      <c r="B12" s="12">
        <f t="shared" si="0"/>
        <v>635.69319303899999</v>
      </c>
      <c r="C12" s="12">
        <v>465.71302310967997</v>
      </c>
      <c r="D12" s="12">
        <v>151.68279490002001</v>
      </c>
      <c r="E12" s="12">
        <v>18.297375029299989</v>
      </c>
      <c r="J12" s="13"/>
      <c r="M12" s="13"/>
    </row>
    <row r="13" spans="1:13">
      <c r="A13" s="2">
        <v>42551</v>
      </c>
      <c r="B13" s="12">
        <f t="shared" si="0"/>
        <v>654.23454984296006</v>
      </c>
      <c r="C13" s="12">
        <v>481.31504711317007</v>
      </c>
      <c r="D13" s="12">
        <v>155.70491403659</v>
      </c>
      <c r="E13" s="12">
        <v>17.21458869319995</v>
      </c>
      <c r="J13" s="13"/>
      <c r="M13" s="13"/>
    </row>
    <row r="14" spans="1:13">
      <c r="A14" s="2">
        <v>42643</v>
      </c>
      <c r="B14" s="12">
        <f t="shared" si="0"/>
        <v>644.13185754776009</v>
      </c>
      <c r="C14" s="12">
        <v>471.81109521067998</v>
      </c>
      <c r="D14" s="12">
        <v>157.51828021880999</v>
      </c>
      <c r="E14" s="12">
        <v>14.802482118270019</v>
      </c>
      <c r="J14" s="14"/>
      <c r="M14" s="13"/>
    </row>
    <row r="15" spans="1:13">
      <c r="A15" s="2">
        <v>42735</v>
      </c>
      <c r="B15" s="12">
        <f t="shared" si="0"/>
        <v>644.80714176623997</v>
      </c>
      <c r="C15" s="12">
        <v>472.75221234479005</v>
      </c>
      <c r="D15" s="12">
        <v>157.18590244748998</v>
      </c>
      <c r="E15" s="12">
        <v>14.869026973959961</v>
      </c>
      <c r="J15" s="14"/>
      <c r="M15" s="13"/>
    </row>
    <row r="16" spans="1:13">
      <c r="A16" s="2">
        <v>42825</v>
      </c>
      <c r="B16" s="12">
        <f t="shared" si="0"/>
        <v>660.75345916709989</v>
      </c>
      <c r="C16" s="12">
        <v>487.71430570139</v>
      </c>
      <c r="D16" s="12">
        <v>157.93795057060998</v>
      </c>
      <c r="E16" s="12">
        <v>15.101202895099975</v>
      </c>
      <c r="J16" s="14"/>
      <c r="M16" s="13"/>
    </row>
    <row r="17" spans="1:13">
      <c r="A17" s="2">
        <v>42916</v>
      </c>
      <c r="B17" s="12">
        <f t="shared" si="0"/>
        <v>682.72374572604997</v>
      </c>
      <c r="C17" s="12">
        <v>505.20026754468</v>
      </c>
      <c r="D17" s="12">
        <v>160.45461815522998</v>
      </c>
      <c r="E17" s="12">
        <v>17.068860026140015</v>
      </c>
      <c r="J17" s="14"/>
      <c r="M17" s="13"/>
    </row>
    <row r="18" spans="1:13">
      <c r="A18" s="2">
        <v>43008</v>
      </c>
      <c r="B18" s="12">
        <f t="shared" si="0"/>
        <v>700.05970687557988</v>
      </c>
      <c r="C18" s="12">
        <v>522.41845581847997</v>
      </c>
      <c r="D18" s="12">
        <v>159.39941274160998</v>
      </c>
      <c r="E18" s="12">
        <v>18.241838315489989</v>
      </c>
      <c r="J18" s="14"/>
      <c r="M18" s="13"/>
    </row>
    <row r="19" spans="1:13">
      <c r="A19" s="2">
        <v>43100</v>
      </c>
      <c r="B19" s="12">
        <f t="shared" si="0"/>
        <v>722.20803086737999</v>
      </c>
      <c r="C19" s="12">
        <v>544.90387420407001</v>
      </c>
      <c r="D19" s="12">
        <v>158.86895598238002</v>
      </c>
      <c r="E19" s="12">
        <v>18.435200680929992</v>
      </c>
      <c r="J19" s="14"/>
      <c r="M19" s="13"/>
    </row>
    <row r="20" spans="1:13">
      <c r="A20" s="2">
        <v>43190</v>
      </c>
      <c r="B20" s="12">
        <f t="shared" si="0"/>
        <v>738.70360771197011</v>
      </c>
      <c r="C20" s="12">
        <v>561.57655731182012</v>
      </c>
      <c r="D20" s="12">
        <v>158.99358810282001</v>
      </c>
      <c r="E20" s="12">
        <v>18.133462297330016</v>
      </c>
      <c r="J20" s="14"/>
      <c r="M20" s="13"/>
    </row>
    <row r="21" spans="1:13">
      <c r="A21" s="2">
        <v>43281</v>
      </c>
      <c r="B21" s="12">
        <f t="shared" si="0"/>
        <v>754.78904029109003</v>
      </c>
      <c r="C21" s="12">
        <v>575.31089794733998</v>
      </c>
      <c r="D21" s="12">
        <v>160.7788585497</v>
      </c>
      <c r="E21" s="12">
        <v>18.69928379405005</v>
      </c>
      <c r="J21" s="14"/>
      <c r="M21" s="13"/>
    </row>
    <row r="22" spans="1:13">
      <c r="A22" s="2">
        <v>43373</v>
      </c>
      <c r="B22" s="12">
        <f t="shared" si="0"/>
        <v>767.33332185181996</v>
      </c>
      <c r="C22" s="12">
        <v>587.19670436135993</v>
      </c>
      <c r="D22" s="12">
        <v>160.31933555895</v>
      </c>
      <c r="E22" s="12">
        <v>19.81728193151001</v>
      </c>
      <c r="J22" s="14"/>
      <c r="M22" s="13"/>
    </row>
    <row r="23" spans="1:13">
      <c r="A23" s="2">
        <v>43465</v>
      </c>
      <c r="B23" s="12">
        <f t="shared" si="0"/>
        <v>782.45734154199988</v>
      </c>
      <c r="C23" s="12">
        <v>604.50083988794995</v>
      </c>
      <c r="D23" s="12">
        <v>159.78586548222998</v>
      </c>
      <c r="E23" s="12">
        <v>18.170636171820007</v>
      </c>
      <c r="J23" s="14"/>
      <c r="M23" s="13"/>
    </row>
    <row r="24" spans="1:13">
      <c r="A24" s="2">
        <v>43555</v>
      </c>
      <c r="B24" s="12">
        <f t="shared" si="0"/>
        <v>793.33920018587014</v>
      </c>
      <c r="C24" s="12">
        <v>613.84877736011003</v>
      </c>
      <c r="D24" s="12">
        <v>161.45822250035002</v>
      </c>
      <c r="E24" s="12">
        <v>18.032200325410034</v>
      </c>
      <c r="J24" s="14"/>
      <c r="M24" s="13"/>
    </row>
    <row r="25" spans="1:13">
      <c r="A25" s="2">
        <v>43646</v>
      </c>
      <c r="B25" s="12">
        <f t="shared" si="0"/>
        <v>810.6398176504299</v>
      </c>
      <c r="C25" s="12">
        <v>629.25927439134</v>
      </c>
      <c r="D25" s="12">
        <v>162.52879280779999</v>
      </c>
      <c r="E25" s="12">
        <v>18.851750451289917</v>
      </c>
      <c r="J25" s="14"/>
      <c r="M25" s="13"/>
    </row>
    <row r="26" spans="1:13">
      <c r="A26" s="2">
        <v>43738</v>
      </c>
      <c r="B26" s="12">
        <f t="shared" si="0"/>
        <v>823.40625890754893</v>
      </c>
      <c r="C26" s="9">
        <v>640.39318787326806</v>
      </c>
      <c r="D26" s="9">
        <v>163.94333120968099</v>
      </c>
      <c r="E26" s="9">
        <v>19.069739824599854</v>
      </c>
    </row>
    <row r="27" spans="1:13">
      <c r="A27" s="2">
        <v>43830</v>
      </c>
      <c r="B27" s="12">
        <f t="shared" si="0"/>
        <v>837.53224851272</v>
      </c>
      <c r="C27" s="9">
        <v>652.63842395061999</v>
      </c>
      <c r="D27" s="9">
        <v>165.84533225743999</v>
      </c>
      <c r="E27" s="9">
        <v>19.048492304660034</v>
      </c>
    </row>
    <row r="28" spans="1:13">
      <c r="A28" s="2">
        <v>43921</v>
      </c>
      <c r="B28" s="12">
        <f t="shared" si="0"/>
        <v>849.3232500631301</v>
      </c>
      <c r="C28" s="26">
        <v>662.52866663303996</v>
      </c>
      <c r="D28" s="9">
        <v>167.56376363217998</v>
      </c>
      <c r="E28" s="9">
        <v>19.230819797910158</v>
      </c>
    </row>
    <row r="29" spans="1:13">
      <c r="A29" s="2">
        <v>44012</v>
      </c>
      <c r="B29" s="12">
        <f>SUM(C29:E29)</f>
        <v>869.28201426673002</v>
      </c>
      <c r="C29" s="26">
        <f>673423722855.29/1000000000</f>
        <v>673.42372285529007</v>
      </c>
      <c r="D29" s="9">
        <f>176194563344.54/1000000000</f>
        <v>176.19456334454</v>
      </c>
      <c r="E29" s="9">
        <f>19663728066.8999/1000000000</f>
        <v>19.6637280668999</v>
      </c>
    </row>
    <row r="33" spans="4:4">
      <c r="D33" s="12"/>
    </row>
    <row r="34" spans="4:4">
      <c r="D34" s="12"/>
    </row>
    <row r="35" spans="4:4">
      <c r="D35" s="12"/>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E29"/>
  <sheetViews>
    <sheetView workbookViewId="0">
      <selection activeCell="B29" sqref="B29"/>
    </sheetView>
  </sheetViews>
  <sheetFormatPr defaultRowHeight="15"/>
  <cols>
    <col min="1" max="1" width="10" customWidth="1"/>
    <col min="2" max="2" width="20.5703125" customWidth="1"/>
    <col min="3" max="4" width="20.28515625" customWidth="1"/>
  </cols>
  <sheetData>
    <row r="1" spans="1:5">
      <c r="A1" s="1" t="s">
        <v>0</v>
      </c>
      <c r="B1" t="s">
        <v>64</v>
      </c>
    </row>
    <row r="2" spans="1:5">
      <c r="A2" s="1" t="s">
        <v>1</v>
      </c>
      <c r="B2" t="s">
        <v>4</v>
      </c>
    </row>
    <row r="3" spans="1:5">
      <c r="A3" s="1" t="s">
        <v>2</v>
      </c>
      <c r="B3" t="s">
        <v>65</v>
      </c>
    </row>
    <row r="4" spans="1:5">
      <c r="A4" s="1" t="s">
        <v>3</v>
      </c>
      <c r="B4" t="s">
        <v>85</v>
      </c>
    </row>
    <row r="6" spans="1:5">
      <c r="D6" s="10"/>
      <c r="E6" s="10"/>
    </row>
    <row r="7" spans="1:5">
      <c r="A7" s="3"/>
      <c r="B7" s="5" t="s">
        <v>27</v>
      </c>
      <c r="C7" s="5" t="s">
        <v>28</v>
      </c>
      <c r="D7" s="11"/>
      <c r="E7" s="11"/>
    </row>
    <row r="8" spans="1:5">
      <c r="A8" s="2">
        <v>42094</v>
      </c>
      <c r="B8" s="4">
        <v>0.94151418244961971</v>
      </c>
      <c r="C8" s="4">
        <v>0.51416823108018705</v>
      </c>
    </row>
    <row r="9" spans="1:5">
      <c r="A9" s="2">
        <v>42185</v>
      </c>
      <c r="B9" s="4">
        <v>0.93816354310199968</v>
      </c>
      <c r="C9" s="4">
        <v>0.47367427178525384</v>
      </c>
    </row>
    <row r="10" spans="1:5">
      <c r="A10" s="2">
        <v>42277</v>
      </c>
      <c r="B10" s="4">
        <v>0.94771969349455121</v>
      </c>
      <c r="C10" s="4">
        <v>0.50332605910284156</v>
      </c>
    </row>
    <row r="11" spans="1:5">
      <c r="A11" s="2">
        <v>42369</v>
      </c>
      <c r="B11" s="4">
        <v>0.99914604826185205</v>
      </c>
      <c r="C11" s="4">
        <v>0.39632207120648305</v>
      </c>
    </row>
    <row r="12" spans="1:5">
      <c r="A12" s="2">
        <v>42460</v>
      </c>
      <c r="B12" s="4">
        <v>0.89355371029246189</v>
      </c>
      <c r="C12" s="4">
        <v>0.40270494519358807</v>
      </c>
    </row>
    <row r="13" spans="1:5">
      <c r="A13" s="2">
        <v>42551</v>
      </c>
      <c r="B13" s="4">
        <v>0.90685133823570596</v>
      </c>
      <c r="C13" s="4">
        <v>0.40078239291115286</v>
      </c>
    </row>
    <row r="14" spans="1:5">
      <c r="A14" s="2">
        <v>42643</v>
      </c>
      <c r="B14" s="4">
        <v>0.94027556175646754</v>
      </c>
      <c r="C14" s="4">
        <v>0.38446313753897859</v>
      </c>
    </row>
    <row r="15" spans="1:5">
      <c r="A15" s="2">
        <v>42735</v>
      </c>
      <c r="B15" s="4">
        <v>0.97829406716692169</v>
      </c>
      <c r="C15" s="4">
        <v>0.33757981437614276</v>
      </c>
    </row>
    <row r="16" spans="1:5">
      <c r="A16" s="2">
        <v>42825</v>
      </c>
      <c r="B16" s="4">
        <v>1.0061268151121201</v>
      </c>
      <c r="C16" s="4">
        <v>0.29991007481611121</v>
      </c>
    </row>
    <row r="17" spans="1:3">
      <c r="A17" s="2">
        <v>42916</v>
      </c>
      <c r="B17" s="4">
        <v>0.99346539385935184</v>
      </c>
      <c r="C17" s="4">
        <v>0.31324666641207166</v>
      </c>
    </row>
    <row r="18" spans="1:3">
      <c r="A18" s="2">
        <v>43008</v>
      </c>
      <c r="B18" s="4">
        <v>0.98177943366214016</v>
      </c>
      <c r="C18" s="4">
        <v>0.30200534130963103</v>
      </c>
    </row>
    <row r="19" spans="1:3">
      <c r="A19" s="2">
        <v>43100</v>
      </c>
      <c r="B19" s="4">
        <v>0.99801505246712374</v>
      </c>
      <c r="C19" s="4">
        <v>0.28796290698443933</v>
      </c>
    </row>
    <row r="20" spans="1:3">
      <c r="A20" s="2">
        <v>43190</v>
      </c>
      <c r="B20" s="4">
        <v>1.1407517626499508</v>
      </c>
      <c r="C20" s="4">
        <v>0.26681716824997165</v>
      </c>
    </row>
    <row r="21" spans="1:3">
      <c r="A21" s="2">
        <v>43281</v>
      </c>
      <c r="B21" s="4">
        <v>1.1184120374330955</v>
      </c>
      <c r="C21" s="4">
        <v>0.25577657243421142</v>
      </c>
    </row>
    <row r="22" spans="1:3">
      <c r="A22" s="2">
        <v>43373</v>
      </c>
      <c r="B22" s="4">
        <v>1.119886046094613</v>
      </c>
      <c r="C22" s="4">
        <v>0.25320995904321353</v>
      </c>
    </row>
    <row r="23" spans="1:3">
      <c r="A23" s="2">
        <v>43465</v>
      </c>
      <c r="B23" s="4">
        <v>1.125109606287537</v>
      </c>
      <c r="C23" s="4">
        <v>0.22967444697382486</v>
      </c>
    </row>
    <row r="24" spans="1:3">
      <c r="A24" s="2">
        <v>43555</v>
      </c>
      <c r="B24" s="4">
        <v>1.1031545436019199</v>
      </c>
      <c r="C24" s="4">
        <v>0.22588478303552656</v>
      </c>
    </row>
    <row r="25" spans="1:3">
      <c r="A25" s="2">
        <v>43646</v>
      </c>
      <c r="B25" s="4">
        <v>1.0773130270019797</v>
      </c>
      <c r="C25" s="4">
        <v>0.26530417848630822</v>
      </c>
    </row>
    <row r="26" spans="1:3">
      <c r="A26" s="2">
        <v>43738</v>
      </c>
      <c r="B26" s="4">
        <v>1.0756783961989913</v>
      </c>
      <c r="C26" s="4">
        <v>0.24475778579966401</v>
      </c>
    </row>
    <row r="27" spans="1:3">
      <c r="A27" s="2">
        <v>43830</v>
      </c>
      <c r="B27" s="4">
        <v>1.0918828044388591</v>
      </c>
      <c r="C27" s="4">
        <v>0.25374212317869688</v>
      </c>
    </row>
    <row r="28" spans="1:3">
      <c r="A28" s="2">
        <v>43921</v>
      </c>
      <c r="B28" s="4">
        <f>0.0105401324141449*100</f>
        <v>1.05401324141449</v>
      </c>
      <c r="C28" s="4">
        <f>0.00260138589281888*100</f>
        <v>0.26013858928188799</v>
      </c>
    </row>
    <row r="29" spans="1:3">
      <c r="A29" s="2">
        <v>44012</v>
      </c>
      <c r="B29" s="4">
        <f>0.0110341591625652*100</f>
        <v>1.10341591625652</v>
      </c>
      <c r="C29" s="4">
        <f>0.00245701418925065*100</f>
        <v>0.24570141892506497</v>
      </c>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AC29"/>
  <sheetViews>
    <sheetView workbookViewId="0">
      <selection activeCell="H25" sqref="H25"/>
    </sheetView>
  </sheetViews>
  <sheetFormatPr defaultRowHeight="15"/>
  <cols>
    <col min="1" max="1" width="10" customWidth="1"/>
    <col min="2" max="2" width="20.5703125" customWidth="1"/>
    <col min="3" max="3" width="11.5703125" bestFit="1" customWidth="1"/>
  </cols>
  <sheetData>
    <row r="1" spans="1:29">
      <c r="A1" s="1" t="s">
        <v>0</v>
      </c>
      <c r="B1" t="s">
        <v>63</v>
      </c>
    </row>
    <row r="2" spans="1:29">
      <c r="A2" s="1" t="s">
        <v>1</v>
      </c>
      <c r="B2" t="s">
        <v>4</v>
      </c>
    </row>
    <row r="3" spans="1:29">
      <c r="A3" s="1" t="s">
        <v>2</v>
      </c>
      <c r="B3" t="s">
        <v>9</v>
      </c>
    </row>
    <row r="4" spans="1:29">
      <c r="A4" s="1" t="s">
        <v>3</v>
      </c>
      <c r="B4" t="s">
        <v>88</v>
      </c>
    </row>
    <row r="7" spans="1:29">
      <c r="A7" s="3"/>
      <c r="B7" s="5" t="s">
        <v>35</v>
      </c>
      <c r="C7" s="5" t="s">
        <v>38</v>
      </c>
    </row>
    <row r="8" spans="1:29">
      <c r="A8" s="2">
        <v>42094</v>
      </c>
      <c r="B8" s="9">
        <v>13.104067450441883</v>
      </c>
      <c r="C8" s="9">
        <v>9.7839642526312272</v>
      </c>
      <c r="E8" s="35"/>
    </row>
    <row r="9" spans="1:29">
      <c r="A9" s="2">
        <v>42185</v>
      </c>
      <c r="B9" s="9">
        <v>8.9117785788592343</v>
      </c>
      <c r="C9" s="9">
        <v>9.4619146826019165</v>
      </c>
      <c r="E9" s="35"/>
      <c r="I9" s="34"/>
      <c r="J9" s="34"/>
      <c r="K9" s="34"/>
      <c r="L9" s="34"/>
      <c r="M9" s="34"/>
      <c r="N9" s="34"/>
      <c r="O9" s="34"/>
      <c r="P9" s="34"/>
      <c r="Q9" s="34"/>
      <c r="R9" s="34"/>
      <c r="S9" s="34"/>
      <c r="T9" s="34"/>
      <c r="U9" s="34"/>
      <c r="V9" s="34"/>
      <c r="W9" s="34"/>
      <c r="X9" s="34"/>
      <c r="Y9" s="34"/>
      <c r="Z9" s="34"/>
      <c r="AA9" s="34"/>
      <c r="AB9" s="34"/>
      <c r="AC9" s="34"/>
    </row>
    <row r="10" spans="1:29">
      <c r="A10" s="2">
        <v>42277</v>
      </c>
      <c r="B10" s="9">
        <v>7.2741992930615327</v>
      </c>
      <c r="C10" s="9">
        <v>9.0697285990095047</v>
      </c>
      <c r="E10" s="35"/>
    </row>
    <row r="11" spans="1:29">
      <c r="A11" s="2">
        <v>42369</v>
      </c>
      <c r="B11" s="9">
        <v>5.9677360640452042</v>
      </c>
      <c r="C11" s="9">
        <v>8.8144453466019641</v>
      </c>
      <c r="E11" s="35"/>
    </row>
    <row r="12" spans="1:29">
      <c r="A12" s="2">
        <v>42460</v>
      </c>
      <c r="B12" s="9">
        <v>4.3525652922923141</v>
      </c>
      <c r="C12" s="9">
        <v>6.6265698070645707</v>
      </c>
      <c r="E12" s="35"/>
    </row>
    <row r="13" spans="1:29">
      <c r="A13" s="2">
        <v>42551</v>
      </c>
      <c r="B13" s="9">
        <v>7.9863429370073087</v>
      </c>
      <c r="C13" s="9">
        <v>6.3952108966015899</v>
      </c>
      <c r="E13" s="35"/>
    </row>
    <row r="14" spans="1:29">
      <c r="A14" s="2">
        <v>42643</v>
      </c>
      <c r="B14" s="9">
        <v>6.9420038188493196</v>
      </c>
      <c r="C14" s="9">
        <v>6.3121620280485358</v>
      </c>
      <c r="E14" s="35"/>
    </row>
    <row r="15" spans="1:29">
      <c r="A15" s="2">
        <v>42735</v>
      </c>
      <c r="B15" s="9">
        <v>5.3933168519270689</v>
      </c>
      <c r="C15" s="9">
        <v>6.1685572250190024</v>
      </c>
      <c r="E15" s="35"/>
    </row>
    <row r="16" spans="1:29">
      <c r="A16" s="2">
        <v>42825</v>
      </c>
      <c r="B16" s="9">
        <v>13.258572774534393</v>
      </c>
      <c r="C16" s="9">
        <v>8.3950590955795228</v>
      </c>
      <c r="E16" s="35"/>
    </row>
    <row r="17" spans="1:5">
      <c r="A17" s="2">
        <v>42916</v>
      </c>
      <c r="B17" s="9">
        <v>9.1163148071187763</v>
      </c>
      <c r="C17" s="9">
        <v>8.6775520631073899</v>
      </c>
      <c r="E17" s="35"/>
    </row>
    <row r="18" spans="1:5">
      <c r="A18" s="2">
        <v>43008</v>
      </c>
      <c r="B18" s="9">
        <v>7.596224546952711</v>
      </c>
      <c r="C18" s="9">
        <v>8.8411072451332373</v>
      </c>
      <c r="E18" s="35"/>
    </row>
    <row r="19" spans="1:5">
      <c r="A19" s="2">
        <v>43100</v>
      </c>
      <c r="B19" s="9">
        <v>6.8864384543962487</v>
      </c>
      <c r="C19" s="9">
        <v>9.2143876457505325</v>
      </c>
      <c r="E19" s="35"/>
    </row>
    <row r="20" spans="1:5">
      <c r="A20" s="2">
        <v>43190</v>
      </c>
      <c r="B20" s="9">
        <v>12.679964260541546</v>
      </c>
      <c r="C20" s="9">
        <v>9.0697355172523189</v>
      </c>
      <c r="E20" s="35"/>
    </row>
    <row r="21" spans="1:5">
      <c r="A21" s="2">
        <v>43281</v>
      </c>
      <c r="B21" s="9">
        <v>8.2512634427392531</v>
      </c>
      <c r="C21" s="9">
        <v>8.8534726761574394</v>
      </c>
      <c r="E21" s="35"/>
    </row>
    <row r="22" spans="1:5">
      <c r="A22" s="2">
        <v>43373</v>
      </c>
      <c r="B22" s="9">
        <v>6.9198261916429891</v>
      </c>
      <c r="C22" s="9">
        <v>8.6843730873300071</v>
      </c>
      <c r="E22" s="35"/>
    </row>
    <row r="23" spans="1:5">
      <c r="A23" s="2">
        <v>43465</v>
      </c>
      <c r="B23" s="9">
        <v>6.1111127116585822</v>
      </c>
      <c r="C23" s="9">
        <v>8.4905416516455912</v>
      </c>
      <c r="E23" s="35"/>
    </row>
    <row r="24" spans="1:5">
      <c r="A24" s="2">
        <v>43555</v>
      </c>
      <c r="B24" s="9">
        <v>16.155482632108878</v>
      </c>
      <c r="C24" s="9">
        <v>9.3594212445374243</v>
      </c>
      <c r="E24" s="35"/>
    </row>
    <row r="25" spans="1:5">
      <c r="A25" s="2">
        <v>43646</v>
      </c>
      <c r="B25" s="9">
        <v>10.486355597014709</v>
      </c>
      <c r="C25" s="9">
        <v>9.9181942831062884</v>
      </c>
      <c r="E25" s="35"/>
    </row>
    <row r="26" spans="1:5">
      <c r="A26" s="2">
        <v>43738</v>
      </c>
      <c r="B26" s="9">
        <v>9.2121534310961941</v>
      </c>
      <c r="C26" s="9">
        <v>10.49127609296959</v>
      </c>
      <c r="E26" s="35"/>
    </row>
    <row r="27" spans="1:5">
      <c r="A27" s="2">
        <v>43830</v>
      </c>
      <c r="B27" s="9">
        <v>8.0613947893765445</v>
      </c>
      <c r="C27" s="9">
        <v>10.978846612399082</v>
      </c>
      <c r="E27" s="35"/>
    </row>
    <row r="28" spans="1:5">
      <c r="A28" s="2">
        <v>43921</v>
      </c>
      <c r="B28" s="9">
        <v>3.2620251543336907</v>
      </c>
      <c r="C28" s="9">
        <v>7.755482242955285</v>
      </c>
      <c r="E28" s="35"/>
    </row>
    <row r="29" spans="1:5">
      <c r="A29" s="2">
        <v>44012</v>
      </c>
      <c r="B29" s="9">
        <v>4.3602681647584065</v>
      </c>
      <c r="C29" s="9">
        <v>6.2239603848912095</v>
      </c>
      <c r="E29" s="35"/>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H47"/>
  <sheetViews>
    <sheetView topLeftCell="A4" workbookViewId="0">
      <selection activeCell="M22" sqref="M22"/>
    </sheetView>
  </sheetViews>
  <sheetFormatPr defaultRowHeight="15"/>
  <cols>
    <col min="1" max="1" width="10" customWidth="1"/>
    <col min="2" max="2" width="20.5703125" customWidth="1"/>
    <col min="3" max="4" width="20.28515625" customWidth="1"/>
    <col min="5" max="5" width="10.5703125" bestFit="1" customWidth="1"/>
  </cols>
  <sheetData>
    <row r="1" spans="1:8">
      <c r="A1" s="1" t="s">
        <v>0</v>
      </c>
      <c r="B1" t="s">
        <v>62</v>
      </c>
    </row>
    <row r="2" spans="1:8">
      <c r="A2" s="1" t="s">
        <v>1</v>
      </c>
      <c r="B2" t="s">
        <v>16</v>
      </c>
    </row>
    <row r="3" spans="1:8">
      <c r="A3" s="1" t="s">
        <v>2</v>
      </c>
      <c r="B3" t="s">
        <v>9</v>
      </c>
    </row>
    <row r="4" spans="1:8">
      <c r="A4" s="1" t="s">
        <v>3</v>
      </c>
    </row>
    <row r="7" spans="1:8">
      <c r="A7" s="3"/>
      <c r="B7" s="5" t="s">
        <v>32</v>
      </c>
      <c r="C7" s="5" t="s">
        <v>17</v>
      </c>
      <c r="D7" s="5" t="s">
        <v>21</v>
      </c>
      <c r="E7" s="5" t="s">
        <v>18</v>
      </c>
      <c r="H7" s="13"/>
    </row>
    <row r="8" spans="1:8">
      <c r="A8" s="2">
        <v>42094</v>
      </c>
      <c r="B8" s="12">
        <f>C8+D8+E8</f>
        <v>263.74971600800001</v>
      </c>
      <c r="C8" s="12">
        <v>85.814955439000002</v>
      </c>
      <c r="D8" s="12">
        <v>93.985455678999998</v>
      </c>
      <c r="E8" s="12">
        <v>83.949304889999993</v>
      </c>
      <c r="H8" s="13"/>
    </row>
    <row r="9" spans="1:8">
      <c r="A9" s="2">
        <v>42185</v>
      </c>
      <c r="B9" s="12">
        <f t="shared" ref="B9:B29" si="0">C9+D9+E9</f>
        <v>272.89247678999999</v>
      </c>
      <c r="C9" s="12">
        <v>88.370526054999999</v>
      </c>
      <c r="D9" s="12">
        <v>99.232354689000005</v>
      </c>
      <c r="E9" s="12">
        <v>85.289596046</v>
      </c>
      <c r="H9" s="13"/>
    </row>
    <row r="10" spans="1:8">
      <c r="A10" s="2">
        <v>42277</v>
      </c>
      <c r="B10" s="12">
        <f t="shared" si="0"/>
        <v>279.78683162999999</v>
      </c>
      <c r="C10" s="12">
        <v>94.305772130999998</v>
      </c>
      <c r="D10" s="12">
        <v>98.375243357000002</v>
      </c>
      <c r="E10" s="12">
        <v>87.105816141999995</v>
      </c>
      <c r="H10" s="13"/>
    </row>
    <row r="11" spans="1:8">
      <c r="A11" s="2">
        <v>42369</v>
      </c>
      <c r="B11" s="12">
        <f t="shared" si="0"/>
        <v>286.24068478600003</v>
      </c>
      <c r="C11" s="12">
        <v>98.842085475000005</v>
      </c>
      <c r="D11" s="12">
        <v>99.690399884000001</v>
      </c>
      <c r="E11" s="12">
        <v>87.708199426999997</v>
      </c>
      <c r="H11" s="13"/>
    </row>
    <row r="12" spans="1:8">
      <c r="A12" s="2">
        <v>42460</v>
      </c>
      <c r="B12" s="12">
        <f t="shared" si="0"/>
        <v>295.08234514399999</v>
      </c>
      <c r="C12" s="12">
        <v>104.927208975</v>
      </c>
      <c r="D12" s="12">
        <v>100.606209976</v>
      </c>
      <c r="E12" s="12">
        <v>89.548926193</v>
      </c>
      <c r="H12" s="13"/>
    </row>
    <row r="13" spans="1:8">
      <c r="A13" s="2">
        <v>42551</v>
      </c>
      <c r="B13" s="12">
        <f t="shared" si="0"/>
        <v>311.64466952200002</v>
      </c>
      <c r="C13" s="12">
        <v>112.786545846</v>
      </c>
      <c r="D13" s="12">
        <v>104.720315919</v>
      </c>
      <c r="E13" s="12">
        <v>94.137807757000004</v>
      </c>
      <c r="H13" s="13"/>
    </row>
    <row r="14" spans="1:8">
      <c r="A14" s="2">
        <v>42643</v>
      </c>
      <c r="B14" s="12">
        <f t="shared" si="0"/>
        <v>319.65906015799999</v>
      </c>
      <c r="C14" s="12">
        <v>118.017281309</v>
      </c>
      <c r="D14" s="12">
        <v>105.660144683</v>
      </c>
      <c r="E14" s="12">
        <v>95.981634166000006</v>
      </c>
      <c r="H14" s="13"/>
    </row>
    <row r="15" spans="1:8">
      <c r="A15" s="2">
        <v>42735</v>
      </c>
      <c r="B15" s="12">
        <f t="shared" si="0"/>
        <v>323.352613238</v>
      </c>
      <c r="C15" s="12">
        <v>121.33148565899999</v>
      </c>
      <c r="D15" s="12">
        <v>105.91024553299999</v>
      </c>
      <c r="E15" s="12">
        <v>96.110882046</v>
      </c>
      <c r="H15" s="13"/>
    </row>
    <row r="16" spans="1:8">
      <c r="A16" s="2">
        <v>42825</v>
      </c>
      <c r="B16" s="12">
        <f t="shared" si="0"/>
        <v>328.84425057499999</v>
      </c>
      <c r="C16" s="12">
        <v>125.899815672</v>
      </c>
      <c r="D16" s="12">
        <v>105.660050094</v>
      </c>
      <c r="E16" s="12">
        <v>97.284384809000002</v>
      </c>
      <c r="H16" s="13"/>
    </row>
    <row r="17" spans="1:8">
      <c r="A17" s="2">
        <v>42916</v>
      </c>
      <c r="B17" s="12">
        <f t="shared" si="0"/>
        <v>336.05576290400001</v>
      </c>
      <c r="C17" s="12">
        <v>128.53986236599999</v>
      </c>
      <c r="D17" s="12">
        <v>109.450448302</v>
      </c>
      <c r="E17" s="12">
        <v>98.065452235999999</v>
      </c>
      <c r="H17" s="13"/>
    </row>
    <row r="18" spans="1:8">
      <c r="A18" s="2">
        <v>43008</v>
      </c>
      <c r="B18" s="12">
        <f t="shared" si="0"/>
        <v>344.78624979700004</v>
      </c>
      <c r="C18" s="12">
        <v>131.43471649700001</v>
      </c>
      <c r="D18" s="12">
        <v>110.719161298</v>
      </c>
      <c r="E18" s="12">
        <v>102.632372002</v>
      </c>
      <c r="H18" s="13"/>
    </row>
    <row r="19" spans="1:8">
      <c r="A19" s="2">
        <v>43100</v>
      </c>
      <c r="B19" s="12">
        <f t="shared" si="0"/>
        <v>343.41088034799998</v>
      </c>
      <c r="C19" s="12">
        <v>135.44253142400001</v>
      </c>
      <c r="D19" s="12">
        <v>108.095409559</v>
      </c>
      <c r="E19" s="12">
        <v>99.872939364999993</v>
      </c>
      <c r="H19" s="13"/>
    </row>
    <row r="20" spans="1:8">
      <c r="A20" s="2">
        <v>43190</v>
      </c>
      <c r="B20" s="12">
        <f t="shared" si="0"/>
        <v>348.34850349300001</v>
      </c>
      <c r="C20" s="12">
        <v>137.661359498</v>
      </c>
      <c r="D20" s="12">
        <v>108.203435754</v>
      </c>
      <c r="E20" s="12">
        <v>102.483708241</v>
      </c>
      <c r="H20" s="13"/>
    </row>
    <row r="21" spans="1:8">
      <c r="A21" s="2">
        <v>43281</v>
      </c>
      <c r="B21" s="12">
        <f t="shared" si="0"/>
        <v>360.483432499</v>
      </c>
      <c r="C21" s="12">
        <v>140.13487235100001</v>
      </c>
      <c r="D21" s="12">
        <v>114.88757694900001</v>
      </c>
      <c r="E21" s="12">
        <v>105.460983199</v>
      </c>
      <c r="H21" s="13"/>
    </row>
    <row r="22" spans="1:8">
      <c r="A22" s="2">
        <v>43373</v>
      </c>
      <c r="B22" s="12">
        <f t="shared" si="0"/>
        <v>367.89132960500001</v>
      </c>
      <c r="C22" s="12">
        <v>141.264165693</v>
      </c>
      <c r="D22" s="12">
        <v>115.99708508400001</v>
      </c>
      <c r="E22" s="12">
        <v>110.63007882799999</v>
      </c>
      <c r="H22" s="13"/>
    </row>
    <row r="23" spans="1:8">
      <c r="A23" s="2">
        <v>43465</v>
      </c>
      <c r="B23" s="12">
        <f t="shared" si="0"/>
        <v>368.45496731500003</v>
      </c>
      <c r="C23" s="12">
        <v>143.76752725099999</v>
      </c>
      <c r="D23" s="12">
        <v>114.879939941</v>
      </c>
      <c r="E23" s="12">
        <v>109.807500123</v>
      </c>
      <c r="H23" s="13"/>
    </row>
    <row r="24" spans="1:8">
      <c r="A24" s="2">
        <v>43555</v>
      </c>
      <c r="B24" s="12">
        <f t="shared" si="0"/>
        <v>374.70473533000001</v>
      </c>
      <c r="C24" s="12">
        <v>143.79372019900001</v>
      </c>
      <c r="D24" s="12">
        <v>118.97152237</v>
      </c>
      <c r="E24" s="12">
        <v>111.939492761</v>
      </c>
      <c r="H24" s="13"/>
    </row>
    <row r="25" spans="1:8">
      <c r="A25" s="2">
        <v>43646</v>
      </c>
      <c r="B25" s="12">
        <f t="shared" si="0"/>
        <v>384.303118799</v>
      </c>
      <c r="C25" s="12">
        <v>146.74714034600001</v>
      </c>
      <c r="D25" s="12">
        <v>123.080902166</v>
      </c>
      <c r="E25" s="12">
        <v>114.47507628699999</v>
      </c>
    </row>
    <row r="26" spans="1:8">
      <c r="A26" s="2">
        <v>43738</v>
      </c>
      <c r="B26" s="12">
        <f t="shared" si="0"/>
        <v>388.08657509099999</v>
      </c>
      <c r="C26" s="9">
        <v>149.18647579399999</v>
      </c>
      <c r="D26" s="9">
        <v>124.41404942200001</v>
      </c>
      <c r="E26" s="9">
        <v>114.48604987500001</v>
      </c>
    </row>
    <row r="27" spans="1:8">
      <c r="A27" s="2">
        <v>43830</v>
      </c>
      <c r="B27" s="12">
        <f t="shared" si="0"/>
        <v>394.77646341699995</v>
      </c>
      <c r="C27" s="9">
        <v>155.71219605799999</v>
      </c>
      <c r="D27" s="9">
        <v>123.01311529199999</v>
      </c>
      <c r="E27" s="9">
        <v>116.051152067</v>
      </c>
    </row>
    <row r="28" spans="1:8">
      <c r="A28" s="2">
        <v>43921</v>
      </c>
      <c r="B28" s="12">
        <f t="shared" si="0"/>
        <v>400.425418267</v>
      </c>
      <c r="C28" s="9">
        <v>165.70730493100001</v>
      </c>
      <c r="D28" s="9">
        <v>117.85609261099999</v>
      </c>
      <c r="E28" s="9">
        <v>116.86202072499999</v>
      </c>
    </row>
    <row r="29" spans="1:8">
      <c r="A29" s="2">
        <v>44012</v>
      </c>
      <c r="B29" s="12">
        <f t="shared" si="0"/>
        <v>411.44937951100002</v>
      </c>
      <c r="C29" s="9">
        <f>170597349948/1000000000</f>
        <v>170.59734994799999</v>
      </c>
      <c r="D29" s="9">
        <f>121007899634/1000000000</f>
        <v>121.007899634</v>
      </c>
      <c r="E29" s="9">
        <f>119844129929/1000000000</f>
        <v>119.844129929</v>
      </c>
    </row>
    <row r="30" spans="1:8">
      <c r="B30" s="13"/>
    </row>
    <row r="31" spans="1:8">
      <c r="B31" s="13"/>
    </row>
    <row r="32" spans="1:8">
      <c r="B32" s="13"/>
    </row>
    <row r="33" spans="2:2">
      <c r="B33" s="13"/>
    </row>
    <row r="34" spans="2:2">
      <c r="B34" s="13"/>
    </row>
    <row r="35" spans="2:2">
      <c r="B35" s="13"/>
    </row>
    <row r="36" spans="2:2">
      <c r="B36" s="13"/>
    </row>
    <row r="37" spans="2:2">
      <c r="B37" s="13"/>
    </row>
    <row r="38" spans="2:2">
      <c r="B38" s="13"/>
    </row>
    <row r="39" spans="2:2">
      <c r="B39" s="13"/>
    </row>
    <row r="40" spans="2:2">
      <c r="B40" s="13"/>
    </row>
    <row r="41" spans="2:2">
      <c r="B41" s="13"/>
    </row>
    <row r="42" spans="2:2">
      <c r="B42" s="13"/>
    </row>
    <row r="43" spans="2:2">
      <c r="B43" s="13"/>
    </row>
    <row r="44" spans="2:2">
      <c r="B44" s="13"/>
    </row>
    <row r="45" spans="2:2">
      <c r="B45" s="13"/>
    </row>
    <row r="46" spans="2:2">
      <c r="B46" s="13"/>
    </row>
    <row r="47" spans="2:2">
      <c r="B47" s="13"/>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E29"/>
  <sheetViews>
    <sheetView workbookViewId="0">
      <selection activeCell="I25" sqref="I25"/>
    </sheetView>
  </sheetViews>
  <sheetFormatPr defaultRowHeight="15"/>
  <cols>
    <col min="1" max="1" width="10" customWidth="1"/>
    <col min="2" max="2" width="20.5703125" customWidth="1"/>
    <col min="3" max="4" width="20.28515625" customWidth="1"/>
  </cols>
  <sheetData>
    <row r="1" spans="1:5">
      <c r="A1" s="1" t="s">
        <v>0</v>
      </c>
      <c r="B1" t="s">
        <v>61</v>
      </c>
    </row>
    <row r="2" spans="1:5">
      <c r="A2" s="1" t="s">
        <v>1</v>
      </c>
      <c r="B2" t="s">
        <v>4</v>
      </c>
    </row>
    <row r="3" spans="1:5">
      <c r="A3" s="1" t="s">
        <v>2</v>
      </c>
      <c r="B3" t="s">
        <v>9</v>
      </c>
    </row>
    <row r="4" spans="1:5">
      <c r="A4" s="1" t="s">
        <v>3</v>
      </c>
      <c r="B4" t="s">
        <v>86</v>
      </c>
    </row>
    <row r="5" spans="1:5">
      <c r="B5" s="21"/>
    </row>
    <row r="6" spans="1:5">
      <c r="D6" s="10"/>
      <c r="E6" s="10"/>
    </row>
    <row r="7" spans="1:5">
      <c r="A7" s="3"/>
      <c r="B7" s="5" t="s">
        <v>27</v>
      </c>
      <c r="C7" s="5" t="s">
        <v>28</v>
      </c>
      <c r="D7" s="11"/>
      <c r="E7" s="11"/>
    </row>
    <row r="8" spans="1:5">
      <c r="A8" s="2">
        <v>42094</v>
      </c>
      <c r="B8" s="4">
        <v>1.87883180227265</v>
      </c>
      <c r="C8" s="4">
        <v>0.8536825768732399</v>
      </c>
    </row>
    <row r="9" spans="1:5">
      <c r="A9" s="2">
        <v>42185</v>
      </c>
      <c r="B9" s="4">
        <v>1.7820902810114958</v>
      </c>
      <c r="C9" s="4">
        <v>0.83183036685393219</v>
      </c>
    </row>
    <row r="10" spans="1:5">
      <c r="A10" s="2">
        <v>42277</v>
      </c>
      <c r="B10" s="4">
        <v>1.72605330377152</v>
      </c>
      <c r="C10" s="4">
        <v>0.78667814296220806</v>
      </c>
    </row>
    <row r="11" spans="1:5">
      <c r="A11" s="2">
        <v>42369</v>
      </c>
      <c r="B11" s="4">
        <v>1.6548358395680598</v>
      </c>
      <c r="C11" s="4">
        <v>0.68284018551053216</v>
      </c>
    </row>
    <row r="12" spans="1:5">
      <c r="A12" s="2">
        <v>42460</v>
      </c>
      <c r="B12" s="4">
        <v>1.6126960988107331</v>
      </c>
      <c r="C12" s="4">
        <v>0.62031217049482368</v>
      </c>
    </row>
    <row r="13" spans="1:5">
      <c r="A13" s="2">
        <v>42551</v>
      </c>
      <c r="B13" s="4">
        <v>1.5693368465468343</v>
      </c>
      <c r="C13" s="4">
        <v>0.52250950715066846</v>
      </c>
    </row>
    <row r="14" spans="1:5">
      <c r="A14" s="2">
        <v>42643</v>
      </c>
      <c r="B14" s="4">
        <v>1.5674117126763392</v>
      </c>
      <c r="C14" s="4">
        <v>0.51244621529992063</v>
      </c>
    </row>
    <row r="15" spans="1:5">
      <c r="A15" s="2">
        <v>42735</v>
      </c>
      <c r="B15" s="4">
        <v>1.5691570277242939</v>
      </c>
      <c r="C15" s="4">
        <v>0.56147031445944207</v>
      </c>
    </row>
    <row r="16" spans="1:5">
      <c r="A16" s="2">
        <v>42825</v>
      </c>
      <c r="B16" s="4">
        <v>1.5981487810365818</v>
      </c>
      <c r="C16" s="4">
        <v>0.55641649217585143</v>
      </c>
    </row>
    <row r="17" spans="1:3">
      <c r="A17" s="2">
        <v>42916</v>
      </c>
      <c r="B17" s="4">
        <v>1.5680468217062791</v>
      </c>
      <c r="C17" s="4">
        <v>0.48471885984303692</v>
      </c>
    </row>
    <row r="18" spans="1:3">
      <c r="A18" s="2">
        <v>43008</v>
      </c>
      <c r="B18" s="4">
        <v>1.5603818654048616</v>
      </c>
      <c r="C18" s="4">
        <v>0.44754442303849729</v>
      </c>
    </row>
    <row r="19" spans="1:3">
      <c r="A19" s="2">
        <v>43100</v>
      </c>
      <c r="B19" s="4">
        <v>1.557464531420127</v>
      </c>
      <c r="C19" s="4">
        <v>0.4167292631423703</v>
      </c>
    </row>
    <row r="20" spans="1:3">
      <c r="A20" s="2">
        <v>43190</v>
      </c>
      <c r="B20" s="4">
        <v>1.5526774824574823</v>
      </c>
      <c r="C20" s="4">
        <v>0.57327857442131325</v>
      </c>
    </row>
    <row r="21" spans="1:3">
      <c r="A21" s="2">
        <v>43281</v>
      </c>
      <c r="B21" s="4">
        <v>1.5222706450461103</v>
      </c>
      <c r="C21" s="4">
        <v>0.56282985702825294</v>
      </c>
    </row>
    <row r="22" spans="1:3">
      <c r="A22" s="2">
        <v>43373</v>
      </c>
      <c r="B22" s="4">
        <v>1.5267320792476642</v>
      </c>
      <c r="C22" s="4">
        <v>0.59599296375193445</v>
      </c>
    </row>
    <row r="23" spans="1:3">
      <c r="A23" s="2">
        <v>43465</v>
      </c>
      <c r="B23" s="4">
        <v>1.5149272216073029</v>
      </c>
      <c r="C23" s="4">
        <v>0.47600816972381893</v>
      </c>
    </row>
    <row r="24" spans="1:3">
      <c r="A24" s="2">
        <v>43555</v>
      </c>
      <c r="B24" s="4">
        <v>1.6308194344973164</v>
      </c>
      <c r="C24" s="4">
        <v>0.44944401196395334</v>
      </c>
    </row>
    <row r="25" spans="1:3">
      <c r="A25" s="2">
        <v>43646</v>
      </c>
      <c r="B25" s="4">
        <v>1.614732716348467</v>
      </c>
      <c r="C25" s="4">
        <v>0.51427743250376601</v>
      </c>
    </row>
    <row r="26" spans="1:3">
      <c r="A26" s="2">
        <v>43738</v>
      </c>
      <c r="B26" s="4">
        <v>1.6148648378176491</v>
      </c>
      <c r="C26" s="4">
        <v>0.54618409502039111</v>
      </c>
    </row>
    <row r="27" spans="1:3">
      <c r="A27" s="2">
        <v>43830</v>
      </c>
      <c r="B27" s="4">
        <v>1.5896876782085412</v>
      </c>
      <c r="C27" s="4">
        <v>0.42052677119988369</v>
      </c>
    </row>
    <row r="28" spans="1:3">
      <c r="A28" s="2">
        <v>43921</v>
      </c>
      <c r="B28" s="4">
        <f>1.6581670795854%*100</f>
        <v>1.6581670795854</v>
      </c>
      <c r="C28" s="4">
        <f>0.00591567855363653*100</f>
        <v>0.59156785536365297</v>
      </c>
    </row>
    <row r="29" spans="1:3">
      <c r="A29" s="2">
        <v>44012</v>
      </c>
      <c r="B29" s="4">
        <f>0.016340597272893*100</f>
        <v>1.6340597272893003</v>
      </c>
      <c r="C29" s="4">
        <f>0.00521058276692899*100</f>
        <v>0.52105827669289895</v>
      </c>
    </row>
  </sheetData>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AC29"/>
  <sheetViews>
    <sheetView workbookViewId="0">
      <selection activeCell="K21" sqref="K21"/>
    </sheetView>
  </sheetViews>
  <sheetFormatPr defaultRowHeight="15"/>
  <cols>
    <col min="1" max="1" width="10" customWidth="1"/>
    <col min="2" max="2" width="20.5703125" customWidth="1"/>
    <col min="3" max="3" width="10.5703125" bestFit="1" customWidth="1"/>
  </cols>
  <sheetData>
    <row r="1" spans="1:29">
      <c r="A1" s="1" t="s">
        <v>0</v>
      </c>
      <c r="B1" t="s">
        <v>60</v>
      </c>
    </row>
    <row r="2" spans="1:29">
      <c r="A2" s="1" t="s">
        <v>1</v>
      </c>
      <c r="B2" t="s">
        <v>4</v>
      </c>
    </row>
    <row r="3" spans="1:29">
      <c r="A3" s="1" t="s">
        <v>2</v>
      </c>
      <c r="B3" t="s">
        <v>9</v>
      </c>
    </row>
    <row r="4" spans="1:29">
      <c r="A4" s="1" t="s">
        <v>3</v>
      </c>
      <c r="B4" t="s">
        <v>89</v>
      </c>
    </row>
    <row r="7" spans="1:29">
      <c r="A7" s="3"/>
      <c r="B7" s="5" t="s">
        <v>35</v>
      </c>
      <c r="C7" s="5" t="s">
        <v>38</v>
      </c>
    </row>
    <row r="8" spans="1:29">
      <c r="A8" s="2">
        <v>42094</v>
      </c>
      <c r="B8" s="9">
        <v>18.80706398878273</v>
      </c>
      <c r="C8" s="9">
        <v>13.942690131529572</v>
      </c>
      <c r="E8" s="35"/>
      <c r="H8" s="33"/>
      <c r="I8" s="33"/>
      <c r="J8" s="33"/>
      <c r="K8" s="33"/>
      <c r="L8" s="33"/>
      <c r="M8" s="33"/>
      <c r="N8" s="33"/>
      <c r="O8" s="33"/>
      <c r="P8" s="33"/>
      <c r="Q8" s="33"/>
      <c r="R8" s="33"/>
      <c r="S8" s="33"/>
      <c r="T8" s="33"/>
      <c r="U8" s="33"/>
      <c r="V8" s="33"/>
      <c r="W8" s="33"/>
      <c r="X8" s="33"/>
      <c r="Y8" s="33"/>
      <c r="Z8" s="32"/>
      <c r="AA8" s="32"/>
      <c r="AB8" s="32"/>
      <c r="AC8" s="32"/>
    </row>
    <row r="9" spans="1:29">
      <c r="A9" s="2">
        <v>42185</v>
      </c>
      <c r="B9" s="9">
        <v>14.733328164522968</v>
      </c>
      <c r="C9" s="9">
        <v>14.574557361214946</v>
      </c>
      <c r="E9" s="35"/>
      <c r="I9" s="34"/>
      <c r="J9" s="34"/>
      <c r="K9" s="34"/>
      <c r="L9" s="34"/>
      <c r="M9" s="34"/>
      <c r="N9" s="34"/>
      <c r="O9" s="34"/>
      <c r="P9" s="34"/>
      <c r="Q9" s="34"/>
      <c r="R9" s="34"/>
      <c r="S9" s="34"/>
      <c r="T9" s="34"/>
      <c r="U9" s="34"/>
      <c r="V9" s="34"/>
      <c r="W9" s="34"/>
      <c r="X9" s="34"/>
      <c r="Y9" s="34"/>
      <c r="Z9" s="34"/>
      <c r="AA9" s="34"/>
      <c r="AB9" s="34"/>
      <c r="AC9" s="34"/>
    </row>
    <row r="10" spans="1:29">
      <c r="A10" s="2">
        <v>42277</v>
      </c>
      <c r="B10" s="9">
        <v>13.988617071006045</v>
      </c>
      <c r="C10" s="9">
        <v>15.045554308217993</v>
      </c>
      <c r="E10" s="35"/>
    </row>
    <row r="11" spans="1:29">
      <c r="A11" s="2">
        <v>42369</v>
      </c>
      <c r="B11" s="9">
        <v>13.243820037001724</v>
      </c>
      <c r="C11" s="9">
        <v>15.193207315328367</v>
      </c>
      <c r="E11" s="35"/>
    </row>
    <row r="12" spans="1:29">
      <c r="A12" s="2">
        <v>42460</v>
      </c>
      <c r="B12" s="9">
        <v>13.71066000726282</v>
      </c>
      <c r="C12" s="9">
        <v>13.919106319948387</v>
      </c>
      <c r="E12" s="35"/>
    </row>
    <row r="13" spans="1:29">
      <c r="A13" s="2">
        <v>42551</v>
      </c>
      <c r="B13" s="9">
        <v>14.164811165355104</v>
      </c>
      <c r="C13" s="9">
        <v>13.776977070156423</v>
      </c>
      <c r="E13" s="35"/>
    </row>
    <row r="14" spans="1:29">
      <c r="A14" s="2">
        <v>42643</v>
      </c>
      <c r="B14" s="9">
        <v>13.976426410909731</v>
      </c>
      <c r="C14" s="9">
        <v>13.773929405132346</v>
      </c>
      <c r="E14" s="35"/>
    </row>
    <row r="15" spans="1:29">
      <c r="A15" s="2">
        <v>42735</v>
      </c>
      <c r="B15" s="9">
        <v>12.340937455436435</v>
      </c>
      <c r="C15" s="9">
        <v>13.548208759741023</v>
      </c>
      <c r="E15" s="35"/>
    </row>
    <row r="16" spans="1:29">
      <c r="A16" s="2">
        <v>42825</v>
      </c>
      <c r="B16" s="9">
        <v>13.620738073666425</v>
      </c>
      <c r="C16" s="9">
        <v>13.525728276341923</v>
      </c>
      <c r="E16" s="35"/>
    </row>
    <row r="17" spans="1:5">
      <c r="A17" s="2">
        <v>42916</v>
      </c>
      <c r="B17" s="9">
        <v>15.942840935586155</v>
      </c>
      <c r="C17" s="9">
        <v>13.970235718899687</v>
      </c>
      <c r="E17" s="35"/>
    </row>
    <row r="18" spans="1:5">
      <c r="A18" s="2">
        <v>43008</v>
      </c>
      <c r="B18" s="9">
        <v>14.69807022960593</v>
      </c>
      <c r="C18" s="9">
        <v>14.150646673573736</v>
      </c>
      <c r="E18" s="35"/>
    </row>
    <row r="19" spans="1:5">
      <c r="A19" s="2">
        <v>43100</v>
      </c>
      <c r="B19" s="9">
        <v>14.30451426916285</v>
      </c>
      <c r="C19" s="9">
        <v>14.64154087700534</v>
      </c>
      <c r="E19" s="35"/>
    </row>
    <row r="20" spans="1:5">
      <c r="A20" s="2">
        <v>43190</v>
      </c>
      <c r="B20" s="9">
        <v>8.3853975902136995</v>
      </c>
      <c r="C20" s="9">
        <v>13.332705756142161</v>
      </c>
      <c r="E20" s="35"/>
    </row>
    <row r="21" spans="1:5">
      <c r="A21" s="2">
        <v>43281</v>
      </c>
      <c r="B21" s="9">
        <v>8.5285882319780413</v>
      </c>
      <c r="C21" s="9">
        <v>11.479142580240129</v>
      </c>
      <c r="E21" s="35"/>
    </row>
    <row r="22" spans="1:5">
      <c r="A22" s="2">
        <v>43373</v>
      </c>
      <c r="B22" s="9">
        <v>9.1997164121033155</v>
      </c>
      <c r="C22" s="9">
        <v>10.104554125864476</v>
      </c>
      <c r="E22" s="35"/>
    </row>
    <row r="23" spans="1:5">
      <c r="A23" s="2">
        <v>43465</v>
      </c>
      <c r="B23" s="9">
        <v>9.9395809085229345</v>
      </c>
      <c r="C23" s="9">
        <v>9.013320785704499</v>
      </c>
      <c r="E23" s="35"/>
    </row>
    <row r="24" spans="1:5">
      <c r="A24" s="2">
        <v>43555</v>
      </c>
      <c r="B24" s="9">
        <v>7.3096500635672568</v>
      </c>
      <c r="C24" s="9">
        <v>8.7443839040428859</v>
      </c>
      <c r="E24" s="35"/>
    </row>
    <row r="25" spans="1:5">
      <c r="A25" s="2">
        <v>43646</v>
      </c>
      <c r="B25" s="9">
        <v>8.334282324140796</v>
      </c>
      <c r="C25" s="9">
        <v>8.6958074270835759</v>
      </c>
      <c r="E25" s="35"/>
    </row>
    <row r="26" spans="1:5">
      <c r="A26" s="2">
        <v>43738</v>
      </c>
      <c r="B26" s="9">
        <v>7.1043945207529493</v>
      </c>
      <c r="C26" s="9">
        <v>8.1719769542459844</v>
      </c>
      <c r="E26" s="35"/>
    </row>
    <row r="27" spans="1:5">
      <c r="A27" s="2">
        <v>43830</v>
      </c>
      <c r="B27" s="9">
        <v>5.0419402975754775</v>
      </c>
      <c r="C27" s="9">
        <v>6.9475668015091196</v>
      </c>
      <c r="E27" s="35"/>
    </row>
    <row r="28" spans="1:5">
      <c r="A28" s="2">
        <v>43921</v>
      </c>
      <c r="B28" s="9">
        <v>-2.1508280282871812</v>
      </c>
      <c r="C28" s="9">
        <v>4.5824472785455113</v>
      </c>
      <c r="E28" s="35"/>
    </row>
    <row r="29" spans="1:5">
      <c r="A29" s="2">
        <v>44012</v>
      </c>
      <c r="B29" s="9">
        <v>0.8294939496020115</v>
      </c>
      <c r="C29" s="9">
        <v>2.7062501849108145</v>
      </c>
      <c r="E29" s="35"/>
    </row>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AD29"/>
  <sheetViews>
    <sheetView workbookViewId="0">
      <selection activeCell="L31" sqref="L31"/>
    </sheetView>
  </sheetViews>
  <sheetFormatPr defaultRowHeight="15"/>
  <cols>
    <col min="1" max="1" width="10" customWidth="1"/>
    <col min="2" max="2" width="20.5703125" customWidth="1"/>
    <col min="3" max="3" width="20.28515625" customWidth="1"/>
    <col min="7" max="8" width="12" bestFit="1" customWidth="1"/>
  </cols>
  <sheetData>
    <row r="1" spans="1:30">
      <c r="A1" s="1" t="s">
        <v>0</v>
      </c>
      <c r="B1" t="s">
        <v>59</v>
      </c>
    </row>
    <row r="2" spans="1:30">
      <c r="A2" s="1" t="s">
        <v>1</v>
      </c>
      <c r="B2" t="s">
        <v>16</v>
      </c>
    </row>
    <row r="3" spans="1:30">
      <c r="A3" s="1" t="s">
        <v>2</v>
      </c>
      <c r="B3" t="s">
        <v>9</v>
      </c>
      <c r="I3" s="13"/>
      <c r="J3" s="13"/>
      <c r="K3" s="13"/>
      <c r="L3" s="13"/>
      <c r="M3" s="13"/>
      <c r="N3" s="13"/>
      <c r="O3" s="13"/>
      <c r="P3" s="13"/>
      <c r="Q3" s="13"/>
      <c r="R3" s="13"/>
      <c r="S3" s="13"/>
      <c r="T3" s="15"/>
      <c r="U3" s="13"/>
      <c r="V3" s="13"/>
      <c r="W3" s="13"/>
      <c r="X3" s="13"/>
      <c r="Y3" s="13"/>
      <c r="Z3" s="13"/>
      <c r="AA3" s="13"/>
      <c r="AB3" s="13"/>
      <c r="AC3" s="13"/>
      <c r="AD3" s="13"/>
    </row>
    <row r="4" spans="1:30">
      <c r="A4" s="1" t="s">
        <v>3</v>
      </c>
    </row>
    <row r="5" spans="1:30">
      <c r="G5" s="13"/>
      <c r="I5" s="13"/>
    </row>
    <row r="6" spans="1:30">
      <c r="G6" s="13"/>
      <c r="I6" s="13"/>
    </row>
    <row r="7" spans="1:30">
      <c r="A7" s="3"/>
      <c r="B7" s="5" t="s">
        <v>32</v>
      </c>
      <c r="C7" s="5" t="s">
        <v>21</v>
      </c>
      <c r="D7" s="5" t="s">
        <v>18</v>
      </c>
      <c r="G7" s="13"/>
      <c r="H7" s="13"/>
      <c r="I7" s="13"/>
    </row>
    <row r="8" spans="1:30">
      <c r="A8" s="2">
        <v>42094</v>
      </c>
      <c r="B8" s="12">
        <v>109.80454241</v>
      </c>
      <c r="C8" s="12">
        <v>103.46657637200001</v>
      </c>
      <c r="D8" s="12">
        <v>6.2022920910000003</v>
      </c>
      <c r="G8" s="13"/>
      <c r="H8" s="13"/>
      <c r="I8" s="13"/>
    </row>
    <row r="9" spans="1:30">
      <c r="A9" s="2">
        <v>42185</v>
      </c>
      <c r="B9" s="12">
        <v>117.06105885300001</v>
      </c>
      <c r="C9" s="12">
        <v>109.067721256</v>
      </c>
      <c r="D9" s="12">
        <v>7.7595598810000004</v>
      </c>
      <c r="G9" s="13"/>
      <c r="H9" s="13"/>
      <c r="I9" s="13"/>
    </row>
    <row r="10" spans="1:30">
      <c r="A10" s="2">
        <v>42277</v>
      </c>
      <c r="B10" s="12">
        <v>141.467672634</v>
      </c>
      <c r="C10" s="12">
        <v>132.862591673</v>
      </c>
      <c r="D10" s="12">
        <v>8.2497693699999992</v>
      </c>
      <c r="G10" s="13"/>
      <c r="H10" s="13"/>
      <c r="I10" s="13"/>
    </row>
    <row r="11" spans="1:30">
      <c r="A11" s="2">
        <v>42369</v>
      </c>
      <c r="B11" s="12">
        <v>147.15372196499999</v>
      </c>
      <c r="C11" s="12">
        <v>137.76978536300001</v>
      </c>
      <c r="D11" s="12">
        <v>8.9837506099999995</v>
      </c>
      <c r="G11" s="13"/>
      <c r="H11" s="13"/>
      <c r="I11" s="13"/>
    </row>
    <row r="12" spans="1:30">
      <c r="A12" s="2">
        <v>42460</v>
      </c>
      <c r="B12" s="12">
        <v>151.368448914</v>
      </c>
      <c r="C12" s="12">
        <v>141.28349541700001</v>
      </c>
      <c r="D12" s="12">
        <v>9.5347660839999993</v>
      </c>
      <c r="G12" s="13"/>
      <c r="H12" s="13"/>
      <c r="I12" s="13"/>
    </row>
    <row r="13" spans="1:30">
      <c r="A13" s="2">
        <v>42551</v>
      </c>
      <c r="B13" s="12">
        <v>157.73365812099999</v>
      </c>
      <c r="C13" s="12">
        <v>145.971440712</v>
      </c>
      <c r="D13" s="12">
        <v>10.962645307000001</v>
      </c>
      <c r="G13" s="13"/>
      <c r="H13" s="13"/>
      <c r="I13" s="13"/>
    </row>
    <row r="14" spans="1:30">
      <c r="A14" s="2">
        <v>42643</v>
      </c>
      <c r="B14" s="12">
        <v>163.08495618200001</v>
      </c>
      <c r="C14" s="12">
        <v>151.10508016200001</v>
      </c>
      <c r="D14" s="12">
        <v>11.252303868</v>
      </c>
      <c r="G14" s="13"/>
      <c r="H14" s="13"/>
      <c r="I14" s="13"/>
    </row>
    <row r="15" spans="1:30">
      <c r="A15" s="2">
        <v>42735</v>
      </c>
      <c r="B15" s="12">
        <v>166.03467332899999</v>
      </c>
      <c r="C15" s="12">
        <v>152.13801931399999</v>
      </c>
      <c r="D15" s="12">
        <v>13.17292102</v>
      </c>
      <c r="G15" s="13"/>
      <c r="H15" s="13"/>
      <c r="I15" s="13"/>
    </row>
    <row r="16" spans="1:30">
      <c r="A16" s="2">
        <v>42825</v>
      </c>
      <c r="B16" s="12">
        <v>171.660526436</v>
      </c>
      <c r="C16" s="12">
        <v>155.05534788899999</v>
      </c>
      <c r="D16" s="12">
        <v>15.547773534999999</v>
      </c>
      <c r="G16" s="13"/>
      <c r="H16" s="13"/>
      <c r="I16" s="15"/>
    </row>
    <row r="17" spans="1:9">
      <c r="A17" s="2">
        <v>42916</v>
      </c>
      <c r="B17" s="12">
        <v>178.13104103699999</v>
      </c>
      <c r="C17" s="12">
        <v>159.36496526600001</v>
      </c>
      <c r="D17" s="12">
        <v>17.594771628</v>
      </c>
      <c r="G17" s="13"/>
      <c r="H17" s="13"/>
      <c r="I17" s="13"/>
    </row>
    <row r="18" spans="1:9">
      <c r="A18" s="2">
        <v>43008</v>
      </c>
      <c r="B18" s="12">
        <v>184.48720988100001</v>
      </c>
      <c r="C18" s="12">
        <v>164.75966129299999</v>
      </c>
      <c r="D18" s="12">
        <v>18.480368285000001</v>
      </c>
      <c r="G18" s="13"/>
      <c r="H18" s="13"/>
      <c r="I18" s="13"/>
    </row>
    <row r="19" spans="1:9">
      <c r="A19" s="2">
        <v>43100</v>
      </c>
      <c r="B19" s="12">
        <v>193.181905457</v>
      </c>
      <c r="C19" s="12">
        <v>170.91972670199999</v>
      </c>
      <c r="D19" s="12">
        <v>20.362063748000001</v>
      </c>
      <c r="G19" s="13"/>
      <c r="H19" s="13"/>
      <c r="I19" s="13"/>
    </row>
    <row r="20" spans="1:9">
      <c r="A20" s="2">
        <v>43190</v>
      </c>
      <c r="B20" s="12">
        <v>196.84012918600001</v>
      </c>
      <c r="C20" s="12">
        <v>171.466835049</v>
      </c>
      <c r="D20" s="12">
        <v>23.389670165999998</v>
      </c>
      <c r="G20" s="13"/>
      <c r="H20" s="13"/>
      <c r="I20" s="13"/>
    </row>
    <row r="21" spans="1:9">
      <c r="A21" s="2">
        <v>43281</v>
      </c>
      <c r="B21" s="12">
        <v>204.16996864199999</v>
      </c>
      <c r="C21" s="12">
        <v>168.84890066299999</v>
      </c>
      <c r="D21" s="12">
        <v>33.236025165000001</v>
      </c>
      <c r="G21" s="14"/>
      <c r="H21" s="13"/>
      <c r="I21" s="13"/>
    </row>
    <row r="22" spans="1:9">
      <c r="A22" s="2">
        <v>43373</v>
      </c>
      <c r="B22" s="12">
        <v>208.67604250799999</v>
      </c>
      <c r="C22" s="12">
        <v>172.78082250899999</v>
      </c>
      <c r="D22" s="12">
        <v>33.732518241999998</v>
      </c>
      <c r="G22" s="14"/>
      <c r="H22" s="13"/>
      <c r="I22" s="13"/>
    </row>
    <row r="23" spans="1:9">
      <c r="A23" s="2">
        <v>43465</v>
      </c>
      <c r="B23" s="12">
        <v>213.58827232100001</v>
      </c>
      <c r="C23" s="12">
        <v>176.99398388</v>
      </c>
      <c r="D23" s="12">
        <v>34.419733440000002</v>
      </c>
      <c r="G23" s="14"/>
      <c r="H23" s="13"/>
      <c r="I23" s="13"/>
    </row>
    <row r="24" spans="1:9">
      <c r="A24" s="2">
        <v>43555</v>
      </c>
      <c r="B24" s="12">
        <v>229.343365503</v>
      </c>
      <c r="C24" s="12">
        <v>185.89192328499999</v>
      </c>
      <c r="D24" s="12">
        <v>36.372898247000002</v>
      </c>
      <c r="G24" s="14"/>
      <c r="H24" s="13"/>
      <c r="I24" s="13"/>
    </row>
    <row r="25" spans="1:9">
      <c r="A25" s="2">
        <v>43646</v>
      </c>
      <c r="B25" s="12">
        <v>237.94014853799999</v>
      </c>
      <c r="C25" s="12">
        <v>192.721243292</v>
      </c>
      <c r="D25" s="12">
        <v>37.931790949000003</v>
      </c>
      <c r="G25" s="14"/>
      <c r="H25" s="13"/>
      <c r="I25" s="13"/>
    </row>
    <row r="26" spans="1:9">
      <c r="A26" s="2">
        <v>43738</v>
      </c>
      <c r="B26" s="9">
        <v>239.68283020000001</v>
      </c>
      <c r="C26" s="9">
        <v>194.264827795</v>
      </c>
      <c r="D26" s="9">
        <v>37.850894717999999</v>
      </c>
      <c r="G26" s="14"/>
      <c r="H26" s="13"/>
      <c r="I26" s="13"/>
    </row>
    <row r="27" spans="1:9">
      <c r="A27" s="2">
        <v>43830</v>
      </c>
      <c r="B27" s="9">
        <v>254.40954551799999</v>
      </c>
      <c r="C27" s="9">
        <v>206.69210843600001</v>
      </c>
      <c r="D27" s="9">
        <v>39.653755244999999</v>
      </c>
      <c r="G27" s="14"/>
    </row>
    <row r="28" spans="1:9">
      <c r="A28" s="2">
        <v>43921</v>
      </c>
      <c r="B28" s="9">
        <v>246.24327111700001</v>
      </c>
      <c r="C28" s="9">
        <v>199.232417699</v>
      </c>
      <c r="D28" s="9">
        <v>38.254218911000002</v>
      </c>
    </row>
    <row r="29" spans="1:9">
      <c r="A29" s="2">
        <v>44012</v>
      </c>
      <c r="B29" s="9">
        <f>243924029634/1000000000</f>
        <v>243.92402963399999</v>
      </c>
      <c r="C29" s="9">
        <f>198601197553/1000000000</f>
        <v>198.60119755299999</v>
      </c>
      <c r="D29" s="9">
        <f>35800769797/1000000000</f>
        <v>35.800769797000001</v>
      </c>
    </row>
  </sheetData>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E29"/>
  <sheetViews>
    <sheetView workbookViewId="0">
      <selection activeCell="F21" sqref="F21"/>
    </sheetView>
  </sheetViews>
  <sheetFormatPr defaultRowHeight="15"/>
  <cols>
    <col min="1" max="1" width="10" customWidth="1"/>
    <col min="2" max="2" width="20.5703125" customWidth="1"/>
    <col min="3" max="4" width="20.28515625" customWidth="1"/>
  </cols>
  <sheetData>
    <row r="1" spans="1:5">
      <c r="A1" s="1" t="s">
        <v>0</v>
      </c>
      <c r="B1" t="s">
        <v>58</v>
      </c>
    </row>
    <row r="2" spans="1:5">
      <c r="A2" s="1" t="s">
        <v>1</v>
      </c>
      <c r="B2" t="s">
        <v>4</v>
      </c>
    </row>
    <row r="3" spans="1:5">
      <c r="A3" s="1" t="s">
        <v>2</v>
      </c>
      <c r="B3" t="s">
        <v>9</v>
      </c>
    </row>
    <row r="4" spans="1:5">
      <c r="A4" s="1" t="s">
        <v>3</v>
      </c>
      <c r="B4" t="s">
        <v>85</v>
      </c>
    </row>
    <row r="6" spans="1:5">
      <c r="D6" s="10"/>
      <c r="E6" s="10"/>
    </row>
    <row r="7" spans="1:5">
      <c r="A7" s="3"/>
      <c r="B7" s="5" t="s">
        <v>27</v>
      </c>
      <c r="C7" s="5" t="s">
        <v>28</v>
      </c>
      <c r="D7" s="11"/>
      <c r="E7" s="11"/>
    </row>
    <row r="8" spans="1:5">
      <c r="A8" s="2">
        <v>42094</v>
      </c>
      <c r="B8" s="9">
        <v>7.2331165877606418</v>
      </c>
      <c r="C8" s="9">
        <v>10.561825392329709</v>
      </c>
    </row>
    <row r="9" spans="1:5">
      <c r="A9" s="2">
        <v>42185</v>
      </c>
      <c r="B9" s="9">
        <v>7.4165120972357386</v>
      </c>
      <c r="C9" s="9">
        <v>10.727807522788293</v>
      </c>
    </row>
    <row r="10" spans="1:5">
      <c r="A10" s="2">
        <v>42277</v>
      </c>
      <c r="B10" s="9">
        <v>7.4298570094651142</v>
      </c>
      <c r="C10" s="9">
        <v>10.04244485386339</v>
      </c>
      <c r="E10" s="11"/>
    </row>
    <row r="11" spans="1:5">
      <c r="A11" s="2">
        <v>42369</v>
      </c>
      <c r="B11" s="9">
        <v>7.3931733965588302</v>
      </c>
      <c r="C11" s="9">
        <v>9.5739089600727976</v>
      </c>
    </row>
    <row r="12" spans="1:5">
      <c r="A12" s="2">
        <v>42460</v>
      </c>
      <c r="B12" s="9">
        <v>7.7017924087277816</v>
      </c>
      <c r="C12" s="9">
        <v>9.937676254663355</v>
      </c>
    </row>
    <row r="13" spans="1:5">
      <c r="A13" s="2">
        <v>42551</v>
      </c>
      <c r="B13" s="9">
        <v>7.5417136495057671</v>
      </c>
      <c r="C13" s="9">
        <v>9.993136340702728</v>
      </c>
    </row>
    <row r="14" spans="1:5">
      <c r="A14" s="2">
        <v>42643</v>
      </c>
      <c r="B14" s="9">
        <v>7.3627752202904784</v>
      </c>
      <c r="C14" s="9">
        <v>10.132163249997197</v>
      </c>
    </row>
    <row r="15" spans="1:5">
      <c r="A15" s="2">
        <v>42735</v>
      </c>
      <c r="B15" s="9">
        <v>7.1912955947001551</v>
      </c>
      <c r="C15" s="9">
        <v>9.0681523574025569</v>
      </c>
    </row>
    <row r="16" spans="1:5">
      <c r="A16" s="2">
        <v>42825</v>
      </c>
      <c r="B16" s="9">
        <v>7.5478542050305668</v>
      </c>
      <c r="C16" s="9">
        <v>9.1954373033696477</v>
      </c>
    </row>
    <row r="17" spans="1:4">
      <c r="A17" s="2">
        <v>42916</v>
      </c>
      <c r="B17" s="9">
        <v>7.3499718643235816</v>
      </c>
      <c r="C17" s="9">
        <v>10.145734980697711</v>
      </c>
    </row>
    <row r="18" spans="1:4">
      <c r="A18" s="2">
        <v>43008</v>
      </c>
      <c r="B18" s="9">
        <v>7.1967406751100249</v>
      </c>
      <c r="C18" s="9">
        <v>10.907205257338177</v>
      </c>
    </row>
    <row r="19" spans="1:4">
      <c r="A19" s="2">
        <v>43100</v>
      </c>
      <c r="B19" s="9">
        <v>7.0517831934768571</v>
      </c>
      <c r="C19" s="9">
        <v>10.573486374213291</v>
      </c>
    </row>
    <row r="20" spans="1:4">
      <c r="A20" s="2">
        <v>43190</v>
      </c>
      <c r="B20" s="9">
        <v>7.1860184823921314</v>
      </c>
      <c r="C20" s="9">
        <v>11.304102284670979</v>
      </c>
    </row>
    <row r="21" spans="1:4">
      <c r="A21" s="2">
        <v>43281</v>
      </c>
      <c r="B21" s="9">
        <v>7.3405739384343693</v>
      </c>
      <c r="C21" s="9">
        <v>12.225742378936427</v>
      </c>
    </row>
    <row r="22" spans="1:4">
      <c r="A22" s="2">
        <v>43373</v>
      </c>
      <c r="B22" s="9">
        <v>7.0449075218932427</v>
      </c>
      <c r="C22" s="9">
        <v>10.88935368769822</v>
      </c>
    </row>
    <row r="23" spans="1:4">
      <c r="A23" s="2">
        <v>43465</v>
      </c>
      <c r="B23" s="9">
        <v>6.8280393420883438</v>
      </c>
      <c r="C23" s="9">
        <v>11.420633672044096</v>
      </c>
    </row>
    <row r="24" spans="1:4">
      <c r="A24" s="2">
        <v>43555</v>
      </c>
      <c r="B24" s="9">
        <v>7.4334177202357532</v>
      </c>
      <c r="C24" s="9">
        <v>10.272316093629101</v>
      </c>
    </row>
    <row r="25" spans="1:4">
      <c r="A25" s="2">
        <v>43646</v>
      </c>
      <c r="B25" s="9">
        <v>7.2980006802941659</v>
      </c>
      <c r="C25" s="9">
        <v>11.625516895902708</v>
      </c>
    </row>
    <row r="26" spans="1:4">
      <c r="A26" s="2">
        <v>43738</v>
      </c>
      <c r="B26" s="9">
        <v>6.7210198523084186</v>
      </c>
      <c r="C26" s="9">
        <v>12.35022861321724</v>
      </c>
    </row>
    <row r="27" spans="1:4">
      <c r="A27" s="2">
        <v>43830</v>
      </c>
      <c r="B27" s="9">
        <v>6.5196227808863663</v>
      </c>
      <c r="C27" s="9">
        <v>11.90701259835487</v>
      </c>
    </row>
    <row r="28" spans="1:4">
      <c r="A28" s="2">
        <v>43921</v>
      </c>
      <c r="B28" s="9">
        <f>0.0641469192769111*100</f>
        <v>6.4146919276911101</v>
      </c>
      <c r="C28" s="9">
        <f>0.131778265170619*100</f>
        <v>13.1778265170619</v>
      </c>
      <c r="D28" s="9"/>
    </row>
    <row r="29" spans="1:4">
      <c r="A29" s="2">
        <v>44012</v>
      </c>
      <c r="B29" s="9">
        <f>0.0637005860106227*100</f>
        <v>6.3700586010622704</v>
      </c>
      <c r="C29" s="9">
        <f>0.129102407944534*100</f>
        <v>12.910240794453401</v>
      </c>
    </row>
  </sheetData>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X72"/>
  <sheetViews>
    <sheetView workbookViewId="0">
      <selection activeCell="F12" sqref="F12"/>
    </sheetView>
  </sheetViews>
  <sheetFormatPr defaultRowHeight="15"/>
  <cols>
    <col min="1" max="1" width="10" customWidth="1"/>
    <col min="2" max="2" width="20.5703125" customWidth="1"/>
    <col min="3" max="4" width="20.28515625" customWidth="1"/>
    <col min="6" max="6" width="10.42578125" bestFit="1" customWidth="1"/>
    <col min="7" max="7" width="18.7109375" bestFit="1" customWidth="1"/>
  </cols>
  <sheetData>
    <row r="1" spans="1:7">
      <c r="A1" s="1" t="s">
        <v>0</v>
      </c>
      <c r="B1" t="s">
        <v>116</v>
      </c>
    </row>
    <row r="2" spans="1:7">
      <c r="A2" s="1" t="s">
        <v>1</v>
      </c>
      <c r="B2" t="s">
        <v>29</v>
      </c>
    </row>
    <row r="3" spans="1:7">
      <c r="A3" s="1" t="s">
        <v>2</v>
      </c>
      <c r="B3" t="s">
        <v>115</v>
      </c>
    </row>
    <row r="4" spans="1:7">
      <c r="A4" s="1" t="s">
        <v>3</v>
      </c>
      <c r="B4" s="34" t="s">
        <v>113</v>
      </c>
    </row>
    <row r="5" spans="1:7">
      <c r="G5" s="29"/>
    </row>
    <row r="6" spans="1:7">
      <c r="D6" s="10"/>
      <c r="E6" s="10"/>
      <c r="G6" s="29"/>
    </row>
    <row r="7" spans="1:7">
      <c r="A7" s="3"/>
      <c r="B7" s="5" t="s">
        <v>34</v>
      </c>
      <c r="C7" s="5" t="s">
        <v>104</v>
      </c>
      <c r="D7" s="11"/>
      <c r="E7" s="11"/>
      <c r="F7" s="30"/>
      <c r="G7" s="31"/>
    </row>
    <row r="8" spans="1:7">
      <c r="A8" s="2">
        <v>42094</v>
      </c>
      <c r="B8" s="9">
        <v>100</v>
      </c>
      <c r="C8" s="35">
        <v>100</v>
      </c>
      <c r="F8" s="30"/>
      <c r="G8" s="31"/>
    </row>
    <row r="9" spans="1:7">
      <c r="A9" s="2">
        <v>42185</v>
      </c>
      <c r="B9" s="9">
        <v>99.845317269351014</v>
      </c>
      <c r="C9" s="35">
        <v>92.867290358675021</v>
      </c>
      <c r="F9" s="30"/>
      <c r="G9" s="31"/>
    </row>
    <row r="10" spans="1:7">
      <c r="A10" s="2">
        <v>42277</v>
      </c>
      <c r="B10" s="9">
        <v>94.741931778680467</v>
      </c>
      <c r="C10" s="35">
        <v>88.267640690144319</v>
      </c>
      <c r="F10" s="30"/>
      <c r="G10" s="31"/>
    </row>
    <row r="11" spans="1:7">
      <c r="A11" s="2">
        <v>42369</v>
      </c>
      <c r="B11" s="9">
        <v>101.2586587767027</v>
      </c>
      <c r="C11" s="35">
        <v>95.659515879974023</v>
      </c>
      <c r="F11" s="30"/>
      <c r="G11" s="31"/>
    </row>
    <row r="12" spans="1:7">
      <c r="A12" s="2">
        <v>42460</v>
      </c>
      <c r="B12" s="9">
        <v>89.837225254330889</v>
      </c>
      <c r="C12" s="35">
        <v>93.78271804622544</v>
      </c>
      <c r="F12" s="30"/>
      <c r="G12" s="31"/>
    </row>
    <row r="13" spans="1:7">
      <c r="A13" s="2">
        <v>42551</v>
      </c>
      <c r="B13" s="9">
        <v>93.047614073449395</v>
      </c>
      <c r="C13" s="35">
        <v>85.190169223023318</v>
      </c>
      <c r="F13" s="30"/>
      <c r="G13" s="31"/>
    </row>
    <row r="14" spans="1:7">
      <c r="A14" s="2">
        <v>42643</v>
      </c>
      <c r="B14" s="9">
        <v>87.098463710626731</v>
      </c>
      <c r="C14" s="35">
        <v>75.185536995090033</v>
      </c>
      <c r="F14" s="30"/>
      <c r="G14" s="31"/>
    </row>
    <row r="15" spans="1:7">
      <c r="A15" s="2">
        <v>42735</v>
      </c>
      <c r="B15" s="9">
        <v>95.62201472920556</v>
      </c>
      <c r="C15" s="35">
        <v>91.693402858973656</v>
      </c>
      <c r="F15" s="30"/>
      <c r="G15" s="31"/>
    </row>
    <row r="16" spans="1:7">
      <c r="A16" s="2">
        <v>42825</v>
      </c>
      <c r="B16" s="9">
        <v>102.93601529181988</v>
      </c>
      <c r="C16" s="35">
        <v>91.349017396342532</v>
      </c>
      <c r="F16" s="30"/>
      <c r="G16" s="31"/>
    </row>
    <row r="17" spans="1:7">
      <c r="A17" s="2">
        <v>42916</v>
      </c>
      <c r="B17" s="9">
        <v>110.33713954302802</v>
      </c>
      <c r="C17" s="35">
        <v>97.341830018601243</v>
      </c>
      <c r="F17" s="30"/>
      <c r="G17" s="31"/>
    </row>
    <row r="18" spans="1:7">
      <c r="A18" s="2">
        <v>43008</v>
      </c>
      <c r="B18" s="9">
        <v>100.8112573189517</v>
      </c>
      <c r="C18" s="35">
        <v>88.962807124283813</v>
      </c>
      <c r="F18" s="30"/>
      <c r="G18" s="31"/>
    </row>
    <row r="19" spans="1:7">
      <c r="A19" s="2">
        <v>43100</v>
      </c>
      <c r="B19" s="9">
        <v>109.49113998114926</v>
      </c>
      <c r="C19" s="35">
        <v>96.194452926475719</v>
      </c>
      <c r="F19" s="30"/>
      <c r="G19" s="31"/>
    </row>
    <row r="20" spans="1:7">
      <c r="A20" s="2">
        <v>43190</v>
      </c>
      <c r="B20" s="9">
        <v>122.8779296477327</v>
      </c>
      <c r="C20" s="35">
        <v>104.45063266327629</v>
      </c>
      <c r="F20" s="30"/>
      <c r="G20" s="31"/>
    </row>
    <row r="21" spans="1:7">
      <c r="A21" s="2">
        <v>43281</v>
      </c>
      <c r="B21" s="9">
        <v>120.60973281424998</v>
      </c>
      <c r="C21" s="35">
        <v>100.10385499577212</v>
      </c>
      <c r="F21" s="30"/>
      <c r="G21" s="31"/>
    </row>
    <row r="22" spans="1:7">
      <c r="A22" s="2">
        <v>43373</v>
      </c>
      <c r="B22" s="9">
        <v>112.00397219245504</v>
      </c>
      <c r="C22" s="35">
        <v>91.110457879583606</v>
      </c>
      <c r="F22" s="30"/>
      <c r="G22" s="31"/>
    </row>
    <row r="23" spans="1:7">
      <c r="A23" s="2">
        <v>43465</v>
      </c>
      <c r="B23" s="9">
        <v>111.00753359384474</v>
      </c>
      <c r="C23" s="35">
        <v>103.70490004172952</v>
      </c>
      <c r="F23" s="30"/>
      <c r="G23" s="31"/>
    </row>
    <row r="24" spans="1:7">
      <c r="A24" s="2">
        <v>43555</v>
      </c>
      <c r="B24" s="9">
        <v>115.12846921058997</v>
      </c>
      <c r="C24" s="35">
        <v>97.355567428586937</v>
      </c>
      <c r="F24" s="30"/>
      <c r="G24" s="31"/>
    </row>
    <row r="25" spans="1:7">
      <c r="A25" s="2">
        <v>43646</v>
      </c>
      <c r="B25" s="9">
        <v>125.69495474791674</v>
      </c>
      <c r="C25" s="35">
        <v>89.266410565616965</v>
      </c>
      <c r="F25" s="30"/>
      <c r="G25" s="31"/>
    </row>
    <row r="26" spans="1:7">
      <c r="A26" s="2">
        <v>43738</v>
      </c>
      <c r="B26" s="9">
        <v>118.41702440879673</v>
      </c>
      <c r="C26" s="35">
        <v>91.544053906236968</v>
      </c>
      <c r="F26" s="30"/>
      <c r="G26" s="31"/>
    </row>
    <row r="27" spans="1:7">
      <c r="A27" s="2">
        <v>43830</v>
      </c>
      <c r="B27" s="9">
        <v>120.29658580892367</v>
      </c>
      <c r="C27" s="35">
        <v>101.26074417976787</v>
      </c>
      <c r="F27" s="30"/>
      <c r="G27" s="31"/>
    </row>
    <row r="28" spans="1:7">
      <c r="A28" s="2">
        <v>43921</v>
      </c>
      <c r="B28" s="9">
        <f>1.63177461070279*100</f>
        <v>163.17746107027901</v>
      </c>
      <c r="C28" s="35">
        <v>145.6658278294301</v>
      </c>
      <c r="F28" s="30"/>
      <c r="G28" s="31"/>
    </row>
    <row r="29" spans="1:7">
      <c r="A29" s="2">
        <v>44012</v>
      </c>
      <c r="B29" s="9">
        <f>1.68075589594936*100</f>
        <v>168.07558959493599</v>
      </c>
      <c r="C29" s="35">
        <v>125.91659337512651</v>
      </c>
      <c r="F29" s="30"/>
      <c r="G29" s="31"/>
    </row>
    <row r="30" spans="1:7">
      <c r="F30" s="30"/>
      <c r="G30" s="31"/>
    </row>
    <row r="31" spans="1:7">
      <c r="F31" s="30"/>
      <c r="G31" s="31"/>
    </row>
    <row r="32" spans="1:7">
      <c r="F32" s="30"/>
      <c r="G32" s="31"/>
    </row>
    <row r="33" spans="3:24">
      <c r="F33" s="30"/>
      <c r="G33" s="31"/>
    </row>
    <row r="34" spans="3:24">
      <c r="F34" s="30"/>
      <c r="G34" s="31"/>
    </row>
    <row r="35" spans="3:24">
      <c r="F35" s="30"/>
      <c r="G35" s="31"/>
    </row>
    <row r="36" spans="3:24">
      <c r="F36" s="30"/>
      <c r="G36" s="31"/>
    </row>
    <row r="37" spans="3:24">
      <c r="F37" s="30"/>
      <c r="G37" s="31"/>
    </row>
    <row r="38" spans="3:24">
      <c r="F38" s="30"/>
      <c r="G38" s="31"/>
    </row>
    <row r="39" spans="3:24">
      <c r="F39" s="30"/>
      <c r="G39" s="31"/>
    </row>
    <row r="40" spans="3:24">
      <c r="C40" s="13"/>
      <c r="D40" s="13"/>
      <c r="E40" s="13"/>
      <c r="F40" s="30"/>
      <c r="G40" s="31"/>
      <c r="H40" s="13"/>
      <c r="I40" s="13"/>
      <c r="J40" s="13"/>
      <c r="K40" s="13"/>
      <c r="L40" s="13"/>
      <c r="M40" s="13"/>
      <c r="N40" s="13"/>
      <c r="O40" s="13"/>
      <c r="P40" s="13"/>
      <c r="Q40" s="13"/>
      <c r="R40" s="13"/>
      <c r="S40" s="13"/>
      <c r="T40" s="13"/>
      <c r="U40" s="13"/>
      <c r="V40" s="13"/>
      <c r="W40" s="13"/>
      <c r="X40" s="13"/>
    </row>
    <row r="41" spans="3:24">
      <c r="F41" s="30"/>
      <c r="G41" s="31"/>
    </row>
    <row r="42" spans="3:24">
      <c r="F42" s="30"/>
      <c r="G42" s="31"/>
    </row>
    <row r="43" spans="3:24">
      <c r="F43" s="30"/>
      <c r="G43" s="31"/>
    </row>
    <row r="44" spans="3:24">
      <c r="F44" s="30"/>
      <c r="G44" s="31"/>
    </row>
    <row r="45" spans="3:24">
      <c r="F45" s="30"/>
      <c r="G45" s="31"/>
    </row>
    <row r="46" spans="3:24">
      <c r="F46" s="30"/>
      <c r="G46" s="31"/>
    </row>
    <row r="47" spans="3:24">
      <c r="F47" s="30"/>
      <c r="G47" s="31"/>
    </row>
    <row r="48" spans="3:24">
      <c r="F48" s="30"/>
      <c r="G48" s="31"/>
    </row>
    <row r="49" spans="6:7">
      <c r="F49" s="30"/>
      <c r="G49" s="31"/>
    </row>
    <row r="50" spans="6:7">
      <c r="F50" s="30"/>
      <c r="G50" s="31"/>
    </row>
    <row r="51" spans="6:7">
      <c r="F51" s="30"/>
      <c r="G51" s="31"/>
    </row>
    <row r="52" spans="6:7">
      <c r="F52" s="30"/>
      <c r="G52" s="31"/>
    </row>
    <row r="53" spans="6:7">
      <c r="F53" s="30"/>
      <c r="G53" s="31"/>
    </row>
    <row r="54" spans="6:7">
      <c r="F54" s="30"/>
      <c r="G54" s="31"/>
    </row>
    <row r="55" spans="6:7">
      <c r="F55" s="30"/>
      <c r="G55" s="31"/>
    </row>
    <row r="56" spans="6:7">
      <c r="F56" s="30"/>
      <c r="G56" s="31"/>
    </row>
    <row r="57" spans="6:7">
      <c r="F57" s="30"/>
      <c r="G57" s="31"/>
    </row>
    <row r="58" spans="6:7">
      <c r="F58" s="30"/>
      <c r="G58" s="31"/>
    </row>
    <row r="59" spans="6:7">
      <c r="F59" s="30"/>
      <c r="G59" s="31"/>
    </row>
    <row r="60" spans="6:7">
      <c r="F60" s="30"/>
      <c r="G60" s="31"/>
    </row>
    <row r="61" spans="6:7">
      <c r="F61" s="30"/>
      <c r="G61" s="31"/>
    </row>
    <row r="62" spans="6:7">
      <c r="F62" s="30"/>
      <c r="G62" s="31"/>
    </row>
    <row r="63" spans="6:7">
      <c r="F63" s="30"/>
      <c r="G63" s="31"/>
    </row>
    <row r="64" spans="6:7">
      <c r="F64" s="30"/>
      <c r="G64" s="31"/>
    </row>
    <row r="65" spans="6:7">
      <c r="F65" s="30"/>
      <c r="G65" s="31"/>
    </row>
    <row r="66" spans="6:7">
      <c r="F66" s="30"/>
      <c r="G66" s="31"/>
    </row>
    <row r="67" spans="6:7">
      <c r="F67" s="30"/>
      <c r="G67" s="31"/>
    </row>
    <row r="68" spans="6:7">
      <c r="F68" s="30"/>
      <c r="G68" s="31"/>
    </row>
    <row r="69" spans="6:7">
      <c r="F69" s="30"/>
      <c r="G69" s="31"/>
    </row>
    <row r="70" spans="6:7">
      <c r="F70" s="30"/>
      <c r="G70" s="31"/>
    </row>
    <row r="71" spans="6:7">
      <c r="F71" s="30"/>
      <c r="G71" s="31"/>
    </row>
    <row r="72" spans="6:7">
      <c r="F72" s="30"/>
      <c r="G72" s="31"/>
    </row>
  </sheetData>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AB29"/>
  <sheetViews>
    <sheetView workbookViewId="0">
      <selection activeCell="L20" sqref="L20"/>
    </sheetView>
  </sheetViews>
  <sheetFormatPr defaultRowHeight="15"/>
  <cols>
    <col min="1" max="1" width="10" customWidth="1"/>
    <col min="2" max="2" width="20.5703125" customWidth="1"/>
    <col min="3" max="3" width="10.5703125" bestFit="1" customWidth="1"/>
  </cols>
  <sheetData>
    <row r="1" spans="1:28">
      <c r="A1" s="1" t="s">
        <v>0</v>
      </c>
      <c r="B1" t="s">
        <v>57</v>
      </c>
    </row>
    <row r="2" spans="1:28">
      <c r="A2" s="1" t="s">
        <v>1</v>
      </c>
      <c r="B2" t="s">
        <v>4</v>
      </c>
    </row>
    <row r="3" spans="1:28">
      <c r="A3" s="1" t="s">
        <v>2</v>
      </c>
      <c r="B3" t="s">
        <v>9</v>
      </c>
    </row>
    <row r="4" spans="1:28">
      <c r="A4" s="1" t="s">
        <v>3</v>
      </c>
      <c r="B4" t="s">
        <v>114</v>
      </c>
    </row>
    <row r="7" spans="1:28">
      <c r="A7" s="3"/>
      <c r="B7" s="5" t="s">
        <v>35</v>
      </c>
      <c r="C7" s="17" t="s">
        <v>38</v>
      </c>
    </row>
    <row r="8" spans="1:28">
      <c r="A8" s="2">
        <v>42094</v>
      </c>
      <c r="B8" s="9">
        <v>20.05884035388706</v>
      </c>
      <c r="C8" s="9">
        <v>15.866504801681572</v>
      </c>
      <c r="E8" s="35"/>
    </row>
    <row r="9" spans="1:28">
      <c r="A9" s="2">
        <v>42185</v>
      </c>
      <c r="B9" s="9">
        <v>17.172479797238267</v>
      </c>
      <c r="C9" s="9">
        <v>16.181536440254941</v>
      </c>
      <c r="E9" s="35"/>
    </row>
    <row r="10" spans="1:28">
      <c r="A10" s="2">
        <v>42277</v>
      </c>
      <c r="B10" s="9">
        <v>15.441973078135584</v>
      </c>
      <c r="C10" s="9">
        <v>16.990897174791293</v>
      </c>
      <c r="E10" s="35"/>
      <c r="H10" s="34"/>
      <c r="I10" s="34"/>
      <c r="J10" s="34"/>
      <c r="K10" s="34"/>
      <c r="L10" s="34"/>
      <c r="M10" s="34"/>
      <c r="N10" s="34"/>
      <c r="O10" s="34"/>
      <c r="P10" s="34"/>
      <c r="Q10" s="34"/>
      <c r="R10" s="34"/>
      <c r="S10" s="34"/>
      <c r="T10" s="34"/>
      <c r="U10" s="34"/>
      <c r="V10" s="34"/>
      <c r="W10" s="34"/>
      <c r="X10" s="34"/>
      <c r="Y10" s="34"/>
      <c r="Z10" s="34"/>
      <c r="AA10" s="34"/>
      <c r="AB10" s="34"/>
    </row>
    <row r="11" spans="1:28">
      <c r="A11" s="2">
        <v>42369</v>
      </c>
      <c r="B11" s="9">
        <v>18.306247262800625</v>
      </c>
      <c r="C11" s="9">
        <v>17.744885123015383</v>
      </c>
      <c r="E11" s="35"/>
    </row>
    <row r="12" spans="1:28">
      <c r="A12" s="2">
        <v>42460</v>
      </c>
      <c r="B12" s="9">
        <v>11.523252660853531</v>
      </c>
      <c r="C12" s="9">
        <v>15.610988199757003</v>
      </c>
      <c r="E12" s="35"/>
    </row>
    <row r="13" spans="1:28">
      <c r="A13" s="2">
        <v>42551</v>
      </c>
      <c r="B13" s="9">
        <v>22.638472767788723</v>
      </c>
      <c r="C13" s="9">
        <v>16.977486442394614</v>
      </c>
      <c r="E13" s="35"/>
    </row>
    <row r="14" spans="1:28">
      <c r="A14" s="2">
        <v>42643</v>
      </c>
      <c r="B14" s="9">
        <v>17.783859311005045</v>
      </c>
      <c r="C14" s="9">
        <v>17.562958000611982</v>
      </c>
      <c r="E14" s="35"/>
    </row>
    <row r="15" spans="1:28">
      <c r="A15" s="2">
        <v>42735</v>
      </c>
      <c r="B15" s="9">
        <v>20.999881632670458</v>
      </c>
      <c r="C15" s="9">
        <v>18.236366593079438</v>
      </c>
      <c r="E15" s="35"/>
    </row>
    <row r="16" spans="1:28">
      <c r="A16" s="2">
        <v>42825</v>
      </c>
      <c r="B16" s="9">
        <v>16.3576487087808</v>
      </c>
      <c r="C16" s="9">
        <v>19.444965605061256</v>
      </c>
      <c r="E16" s="35"/>
    </row>
    <row r="17" spans="1:5">
      <c r="A17" s="2">
        <v>42916</v>
      </c>
      <c r="B17" s="9">
        <v>15.54646252792673</v>
      </c>
      <c r="C17" s="9">
        <v>17.671963045095758</v>
      </c>
      <c r="E17" s="35"/>
    </row>
    <row r="18" spans="1:5">
      <c r="A18" s="2">
        <v>43008</v>
      </c>
      <c r="B18" s="9">
        <v>12.923901047500649</v>
      </c>
      <c r="C18" s="9">
        <v>16.456973479219663</v>
      </c>
      <c r="E18" s="35"/>
    </row>
    <row r="19" spans="1:5">
      <c r="A19" s="2">
        <v>43100</v>
      </c>
      <c r="B19" s="9">
        <v>15.634343057591485</v>
      </c>
      <c r="C19" s="9">
        <v>15.115588835449916</v>
      </c>
      <c r="E19" s="35"/>
    </row>
    <row r="20" spans="1:5">
      <c r="A20" s="2">
        <v>43190</v>
      </c>
      <c r="B20" s="9">
        <v>15.153336466821163</v>
      </c>
      <c r="C20" s="9">
        <v>14.814510774960008</v>
      </c>
      <c r="E20" s="35"/>
    </row>
    <row r="21" spans="1:5">
      <c r="A21" s="2">
        <v>43281</v>
      </c>
      <c r="B21" s="9">
        <v>14.503964449583021</v>
      </c>
      <c r="C21" s="9">
        <v>14.55388625537408</v>
      </c>
      <c r="E21" s="35"/>
    </row>
    <row r="22" spans="1:5">
      <c r="A22" s="2">
        <v>43373</v>
      </c>
      <c r="B22" s="9">
        <v>12.699161302247383</v>
      </c>
      <c r="C22" s="9">
        <v>14.497701319060763</v>
      </c>
      <c r="E22" s="35"/>
    </row>
    <row r="23" spans="1:5">
      <c r="A23" s="2">
        <v>43465</v>
      </c>
      <c r="B23" s="9">
        <v>13.72700358126637</v>
      </c>
      <c r="C23" s="9">
        <v>14.020866449979486</v>
      </c>
      <c r="E23" s="35"/>
    </row>
    <row r="24" spans="1:5">
      <c r="A24" s="2">
        <v>43555</v>
      </c>
      <c r="B24" s="9">
        <v>24.526696609882951</v>
      </c>
      <c r="C24" s="9">
        <v>16.36420648574493</v>
      </c>
      <c r="E24" s="35"/>
    </row>
    <row r="25" spans="1:5">
      <c r="A25" s="2">
        <v>43646</v>
      </c>
      <c r="B25" s="9">
        <v>20.876745330400492</v>
      </c>
      <c r="C25" s="9">
        <v>17.957401705949298</v>
      </c>
      <c r="E25" s="35"/>
    </row>
    <row r="26" spans="1:5">
      <c r="A26" s="2">
        <v>43738</v>
      </c>
      <c r="B26" s="9">
        <v>17.811478872173833</v>
      </c>
      <c r="C26" s="9">
        <v>19.235481098430913</v>
      </c>
      <c r="E26" s="35"/>
    </row>
    <row r="27" spans="1:5">
      <c r="A27" s="2">
        <v>43830</v>
      </c>
      <c r="B27" s="9">
        <v>21.166361456823051</v>
      </c>
      <c r="C27" s="9">
        <v>21.09532056732008</v>
      </c>
      <c r="E27" s="35"/>
    </row>
    <row r="28" spans="1:5">
      <c r="A28" s="2">
        <v>43921</v>
      </c>
      <c r="B28" s="9">
        <f>0.289940630088782*100</f>
        <v>28.9940630088782</v>
      </c>
      <c r="C28" s="9">
        <v>22.2121621670689</v>
      </c>
      <c r="E28" s="35"/>
    </row>
    <row r="29" spans="1:5">
      <c r="A29" s="2">
        <v>44012</v>
      </c>
      <c r="B29" s="9">
        <f>0.279544511670294*100</f>
        <v>27.954451167029397</v>
      </c>
      <c r="C29" s="9">
        <v>23.981588626226127</v>
      </c>
      <c r="E29" s="35"/>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E29"/>
  <sheetViews>
    <sheetView workbookViewId="0">
      <selection activeCell="H36" sqref="H36"/>
    </sheetView>
  </sheetViews>
  <sheetFormatPr defaultRowHeight="15"/>
  <cols>
    <col min="1" max="1" width="10" customWidth="1"/>
    <col min="2" max="4" width="20.5703125" customWidth="1"/>
    <col min="5" max="5" width="9.5703125" bestFit="1" customWidth="1"/>
  </cols>
  <sheetData>
    <row r="1" spans="1:5">
      <c r="A1" s="1" t="s">
        <v>0</v>
      </c>
      <c r="B1" t="s">
        <v>44</v>
      </c>
    </row>
    <row r="2" spans="1:5">
      <c r="A2" s="1" t="s">
        <v>1</v>
      </c>
      <c r="B2" t="s">
        <v>16</v>
      </c>
    </row>
    <row r="3" spans="1:5">
      <c r="A3" s="1" t="s">
        <v>2</v>
      </c>
      <c r="B3" t="s">
        <v>9</v>
      </c>
    </row>
    <row r="4" spans="1:5">
      <c r="A4" s="1" t="s">
        <v>3</v>
      </c>
      <c r="B4" t="s">
        <v>43</v>
      </c>
    </row>
    <row r="7" spans="1:5">
      <c r="A7" s="3"/>
      <c r="B7" s="5" t="s">
        <v>14</v>
      </c>
      <c r="C7" s="5" t="s">
        <v>17</v>
      </c>
      <c r="D7" s="5" t="s">
        <v>18</v>
      </c>
      <c r="E7" s="5" t="s">
        <v>19</v>
      </c>
    </row>
    <row r="8" spans="1:5">
      <c r="A8" s="2">
        <v>42094</v>
      </c>
      <c r="B8" s="12">
        <f>C8+D8+E8</f>
        <v>5672.7498724449997</v>
      </c>
      <c r="C8" s="12">
        <v>2640.9839650059998</v>
      </c>
      <c r="D8" s="12">
        <v>2618.7609512889999</v>
      </c>
      <c r="E8" s="12">
        <v>413.00495615</v>
      </c>
    </row>
    <row r="9" spans="1:5">
      <c r="A9" s="2">
        <v>42185</v>
      </c>
      <c r="B9" s="12">
        <f t="shared" ref="B9:B29" si="0">C9+D9+E9</f>
        <v>5775.0745575345509</v>
      </c>
      <c r="C9" s="12">
        <v>2720.170982143874</v>
      </c>
      <c r="D9" s="12">
        <v>2627.3415506297051</v>
      </c>
      <c r="E9" s="12">
        <v>427.56202476097195</v>
      </c>
    </row>
    <row r="10" spans="1:5">
      <c r="A10" s="2">
        <v>42277</v>
      </c>
      <c r="B10" s="12">
        <f t="shared" si="0"/>
        <v>5858.4071502534434</v>
      </c>
      <c r="C10" s="12">
        <v>2787.7488038967031</v>
      </c>
      <c r="D10" s="12">
        <v>2621.024283344429</v>
      </c>
      <c r="E10" s="12">
        <v>449.63406301231095</v>
      </c>
    </row>
    <row r="11" spans="1:5">
      <c r="A11" s="2">
        <v>42369</v>
      </c>
      <c r="B11" s="12">
        <f t="shared" si="0"/>
        <v>5850.318712379003</v>
      </c>
      <c r="C11" s="12">
        <v>2769.0036594176131</v>
      </c>
      <c r="D11" s="12">
        <v>2638.3224386854649</v>
      </c>
      <c r="E11" s="12">
        <v>442.99261427592506</v>
      </c>
    </row>
    <row r="12" spans="1:5">
      <c r="A12" s="2">
        <v>42460</v>
      </c>
      <c r="B12" s="12">
        <f t="shared" si="0"/>
        <v>5948.7229049277867</v>
      </c>
      <c r="C12" s="12">
        <v>2812.3268897004559</v>
      </c>
      <c r="D12" s="12">
        <v>2689.0388185266402</v>
      </c>
      <c r="E12" s="12">
        <v>447.35719670069</v>
      </c>
    </row>
    <row r="13" spans="1:5">
      <c r="A13" s="2">
        <v>42551</v>
      </c>
      <c r="B13" s="12">
        <f t="shared" si="0"/>
        <v>6140.0147217146323</v>
      </c>
      <c r="C13" s="12">
        <v>2892.7872426351623</v>
      </c>
      <c r="D13" s="12">
        <v>2788.9502767590225</v>
      </c>
      <c r="E13" s="12">
        <v>458.27720232044794</v>
      </c>
    </row>
    <row r="14" spans="1:5">
      <c r="A14" s="2">
        <v>42643</v>
      </c>
      <c r="B14" s="12">
        <f t="shared" si="0"/>
        <v>6261.7423839445582</v>
      </c>
      <c r="C14" s="12">
        <v>2927.7397215923152</v>
      </c>
      <c r="D14" s="12">
        <v>2862.2301955479447</v>
      </c>
      <c r="E14" s="12">
        <v>471.77246680429806</v>
      </c>
    </row>
    <row r="15" spans="1:5">
      <c r="A15" s="2">
        <v>42735</v>
      </c>
      <c r="B15" s="12">
        <f t="shared" si="0"/>
        <v>6278.0286132632318</v>
      </c>
      <c r="C15" s="12">
        <v>2970.4312650063389</v>
      </c>
      <c r="D15" s="12">
        <v>2839.2190884516876</v>
      </c>
      <c r="E15" s="12">
        <v>468.37825980520591</v>
      </c>
    </row>
    <row r="16" spans="1:5">
      <c r="A16" s="2">
        <v>42825</v>
      </c>
      <c r="B16" s="12">
        <f t="shared" si="0"/>
        <v>6385.4044774995918</v>
      </c>
      <c r="C16" s="12">
        <v>3020.3360795920198</v>
      </c>
      <c r="D16" s="12">
        <v>2890.2888713020338</v>
      </c>
      <c r="E16" s="12">
        <v>474.77952660553797</v>
      </c>
    </row>
    <row r="17" spans="1:5">
      <c r="A17" s="2">
        <v>42916</v>
      </c>
      <c r="B17" s="12">
        <f t="shared" si="0"/>
        <v>6513.1879348447146</v>
      </c>
      <c r="C17" s="12">
        <v>3076.7813180078101</v>
      </c>
      <c r="D17" s="12">
        <v>2943.4553817634446</v>
      </c>
      <c r="E17" s="12">
        <v>492.95123507345994</v>
      </c>
    </row>
    <row r="18" spans="1:5">
      <c r="A18" s="2">
        <v>43008</v>
      </c>
      <c r="B18" s="12">
        <f t="shared" si="0"/>
        <v>6608.7133877417173</v>
      </c>
      <c r="C18" s="12">
        <v>3123.49770710247</v>
      </c>
      <c r="D18" s="12">
        <v>2980.8840901931908</v>
      </c>
      <c r="E18" s="12">
        <v>504.33159044605702</v>
      </c>
    </row>
    <row r="19" spans="1:5">
      <c r="A19" s="2">
        <v>43100</v>
      </c>
      <c r="B19" s="12">
        <f t="shared" si="0"/>
        <v>6656.6443407694696</v>
      </c>
      <c r="C19" s="12">
        <v>3201.1631000811599</v>
      </c>
      <c r="D19" s="12">
        <v>2943.9041929027389</v>
      </c>
      <c r="E19" s="12">
        <v>511.57704778557098</v>
      </c>
    </row>
    <row r="20" spans="1:5">
      <c r="A20" s="2">
        <v>43190</v>
      </c>
      <c r="B20" s="12">
        <f t="shared" si="0"/>
        <v>6773.9708625337189</v>
      </c>
      <c r="C20" s="12">
        <v>3199.9237076678196</v>
      </c>
      <c r="D20" s="12">
        <v>3051.5930340978198</v>
      </c>
      <c r="E20" s="12">
        <v>522.45412076807997</v>
      </c>
    </row>
    <row r="21" spans="1:5">
      <c r="A21" s="2">
        <v>43281</v>
      </c>
      <c r="B21" s="12">
        <f t="shared" si="0"/>
        <v>6963.0355457110109</v>
      </c>
      <c r="C21" s="12">
        <v>3264.76864558034</v>
      </c>
      <c r="D21" s="12">
        <v>3163.1229173507004</v>
      </c>
      <c r="E21" s="12">
        <v>535.14398277997009</v>
      </c>
    </row>
    <row r="22" spans="1:5">
      <c r="A22" s="2">
        <v>43373</v>
      </c>
      <c r="B22" s="12">
        <f t="shared" si="0"/>
        <v>6997.8922934949696</v>
      </c>
      <c r="C22" s="12">
        <v>3297.6170419893597</v>
      </c>
      <c r="D22" s="12">
        <v>3156.0512086089502</v>
      </c>
      <c r="E22" s="12">
        <v>544.22404289666008</v>
      </c>
    </row>
    <row r="23" spans="1:5">
      <c r="A23" s="2">
        <v>43465</v>
      </c>
      <c r="B23" s="12">
        <f t="shared" si="0"/>
        <v>7062.8815742668803</v>
      </c>
      <c r="C23" s="12">
        <v>3357.8144731379502</v>
      </c>
      <c r="D23" s="12">
        <v>3160.92784455223</v>
      </c>
      <c r="E23" s="12">
        <v>544.13925657670006</v>
      </c>
    </row>
    <row r="24" spans="1:5">
      <c r="A24" s="2">
        <v>43555</v>
      </c>
      <c r="B24" s="12">
        <f t="shared" si="0"/>
        <v>7265.9013992185301</v>
      </c>
      <c r="C24" s="12">
        <v>3453.0470423911097</v>
      </c>
      <c r="D24" s="12">
        <v>3251.9471932513502</v>
      </c>
      <c r="E24" s="12">
        <v>560.90716357607005</v>
      </c>
    </row>
    <row r="25" spans="1:5">
      <c r="A25" s="2">
        <v>43646</v>
      </c>
      <c r="B25" s="12">
        <f t="shared" si="0"/>
        <v>7430.6159966605301</v>
      </c>
      <c r="C25" s="12">
        <v>3508.9386324133397</v>
      </c>
      <c r="D25" s="12">
        <v>3337.3759053708004</v>
      </c>
      <c r="E25" s="12">
        <v>584.30145887639003</v>
      </c>
    </row>
    <row r="26" spans="1:5">
      <c r="A26" s="2">
        <v>43738</v>
      </c>
      <c r="B26" s="12">
        <f t="shared" si="0"/>
        <v>7497.6659767882693</v>
      </c>
      <c r="C26" s="9">
        <v>3552.8328747132682</v>
      </c>
      <c r="D26" s="9">
        <v>3358.2002591556811</v>
      </c>
      <c r="E26" s="9">
        <v>586.63284291931984</v>
      </c>
    </row>
    <row r="27" spans="1:5">
      <c r="A27" s="2">
        <v>43830</v>
      </c>
      <c r="B27" s="12">
        <f t="shared" si="0"/>
        <v>7483.4420323533304</v>
      </c>
      <c r="C27" s="9">
        <v>3593.02038311562</v>
      </c>
      <c r="D27" s="9">
        <v>3304.09131283644</v>
      </c>
      <c r="E27" s="9">
        <v>586.33033640127007</v>
      </c>
    </row>
    <row r="28" spans="1:5">
      <c r="A28" s="2">
        <v>43921</v>
      </c>
      <c r="B28" s="12">
        <f t="shared" si="0"/>
        <v>7695.0116259054412</v>
      </c>
      <c r="C28" s="9">
        <v>3645.8762949700399</v>
      </c>
      <c r="D28" s="9">
        <v>3460.7315636221801</v>
      </c>
      <c r="E28" s="9">
        <v>588.40376731322021</v>
      </c>
    </row>
    <row r="29" spans="1:5">
      <c r="A29" s="2">
        <v>44012</v>
      </c>
      <c r="B29" s="12">
        <f t="shared" si="0"/>
        <v>7636.5204540594605</v>
      </c>
      <c r="C29" s="9">
        <f>3668859513636.29/1000000000</f>
        <v>3668.8595136362901</v>
      </c>
      <c r="D29" s="9">
        <f>3363601067965.54/1000000000</f>
        <v>3363.6010679655401</v>
      </c>
      <c r="E29" s="9">
        <f>604059872457.63/1000000000</f>
        <v>604.05987245763004</v>
      </c>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I29"/>
  <sheetViews>
    <sheetView workbookViewId="0">
      <selection activeCell="H14" sqref="H14"/>
    </sheetView>
  </sheetViews>
  <sheetFormatPr defaultRowHeight="15"/>
  <cols>
    <col min="1" max="1" width="10" customWidth="1"/>
    <col min="2" max="2" width="20.5703125" customWidth="1"/>
    <col min="3" max="4" width="20.28515625" customWidth="1"/>
    <col min="5" max="5" width="9.5703125" bestFit="1" customWidth="1"/>
    <col min="8" max="8" width="13.42578125" bestFit="1" customWidth="1"/>
    <col min="9" max="9" width="9.28515625" bestFit="1" customWidth="1"/>
  </cols>
  <sheetData>
    <row r="1" spans="1:8">
      <c r="A1" s="1" t="s">
        <v>0</v>
      </c>
      <c r="B1" t="s">
        <v>56</v>
      </c>
    </row>
    <row r="2" spans="1:8">
      <c r="A2" s="1" t="s">
        <v>1</v>
      </c>
      <c r="B2" t="s">
        <v>16</v>
      </c>
      <c r="H2" s="14"/>
    </row>
    <row r="3" spans="1:8">
      <c r="A3" s="1" t="s">
        <v>2</v>
      </c>
      <c r="B3" t="s">
        <v>9</v>
      </c>
      <c r="H3" s="14"/>
    </row>
    <row r="4" spans="1:8">
      <c r="A4" s="1" t="s">
        <v>3</v>
      </c>
      <c r="H4" s="14"/>
    </row>
    <row r="5" spans="1:8">
      <c r="H5" s="14"/>
    </row>
    <row r="6" spans="1:8">
      <c r="H6" s="14"/>
    </row>
    <row r="7" spans="1:8">
      <c r="A7" s="3"/>
      <c r="B7" s="5" t="s">
        <v>32</v>
      </c>
      <c r="C7" s="5" t="s">
        <v>21</v>
      </c>
      <c r="D7" s="5" t="s">
        <v>17</v>
      </c>
      <c r="E7" s="5" t="s">
        <v>18</v>
      </c>
      <c r="H7" s="14"/>
    </row>
    <row r="8" spans="1:8">
      <c r="A8" s="2">
        <v>42094</v>
      </c>
      <c r="B8" s="12">
        <f>SUM(C8:E8)</f>
        <v>27.287570975999998</v>
      </c>
      <c r="C8" s="12">
        <v>20.673335818999998</v>
      </c>
      <c r="D8" s="12">
        <v>2.4927151890000001</v>
      </c>
      <c r="E8" s="12">
        <v>4.1215199680000003</v>
      </c>
      <c r="H8" s="14"/>
    </row>
    <row r="9" spans="1:8">
      <c r="A9" s="2">
        <v>42185</v>
      </c>
      <c r="B9" s="12">
        <f t="shared" ref="B9:B28" si="0">SUM(C9:E9)</f>
        <v>29.822145829999997</v>
      </c>
      <c r="C9" s="12">
        <v>22.049141868</v>
      </c>
      <c r="D9" s="12">
        <v>2.6215763590000001</v>
      </c>
      <c r="E9" s="12">
        <v>5.1514276030000001</v>
      </c>
      <c r="H9" s="14"/>
    </row>
    <row r="10" spans="1:8">
      <c r="A10" s="2">
        <v>42277</v>
      </c>
      <c r="B10" s="12">
        <f t="shared" si="0"/>
        <v>30.938578804999999</v>
      </c>
      <c r="C10" s="12">
        <v>21.815243653</v>
      </c>
      <c r="D10" s="12">
        <v>2.7798530179999998</v>
      </c>
      <c r="E10" s="12">
        <v>6.3434821340000003</v>
      </c>
      <c r="H10" s="14"/>
    </row>
    <row r="11" spans="1:8">
      <c r="A11" s="2">
        <v>42369</v>
      </c>
      <c r="B11" s="12">
        <f t="shared" si="0"/>
        <v>31.088592556999998</v>
      </c>
      <c r="C11" s="12">
        <v>21.599302844</v>
      </c>
      <c r="D11" s="12">
        <v>3.0739032220000002</v>
      </c>
      <c r="E11" s="12">
        <v>6.4153864909999996</v>
      </c>
      <c r="H11" s="14"/>
    </row>
    <row r="12" spans="1:8">
      <c r="A12" s="2">
        <v>42460</v>
      </c>
      <c r="B12" s="12">
        <f t="shared" si="0"/>
        <v>32.894102484000001</v>
      </c>
      <c r="C12" s="12">
        <v>22.545842081</v>
      </c>
      <c r="D12" s="12">
        <v>3.3187529470000001</v>
      </c>
      <c r="E12" s="12">
        <v>7.0295074560000002</v>
      </c>
      <c r="H12" s="14"/>
    </row>
    <row r="13" spans="1:8">
      <c r="A13" s="2">
        <v>42551</v>
      </c>
      <c r="B13" s="12">
        <f t="shared" si="0"/>
        <v>32.313677959000003</v>
      </c>
      <c r="C13" s="12">
        <v>21.511589406999999</v>
      </c>
      <c r="D13" s="12">
        <v>3.8180194950000002</v>
      </c>
      <c r="E13" s="12">
        <v>6.9840690570000001</v>
      </c>
      <c r="H13" s="14"/>
    </row>
    <row r="14" spans="1:8">
      <c r="A14" s="2">
        <v>42643</v>
      </c>
      <c r="B14" s="12">
        <f t="shared" si="0"/>
        <v>35.168401201999998</v>
      </c>
      <c r="C14" s="12">
        <v>23.318678404</v>
      </c>
      <c r="D14" s="12">
        <v>4.4829933449999997</v>
      </c>
      <c r="E14" s="12">
        <v>7.3667294529999996</v>
      </c>
      <c r="H14" s="14"/>
    </row>
    <row r="15" spans="1:8">
      <c r="A15" s="2">
        <v>42735</v>
      </c>
      <c r="B15" s="12">
        <f t="shared" si="0"/>
        <v>36.104397417000001</v>
      </c>
      <c r="C15" s="12">
        <v>22.980398895</v>
      </c>
      <c r="D15" s="12">
        <v>5.2763641740000002</v>
      </c>
      <c r="E15" s="12">
        <v>7.8476343479999997</v>
      </c>
      <c r="H15" s="14"/>
    </row>
    <row r="16" spans="1:8">
      <c r="A16" s="2">
        <v>42825</v>
      </c>
      <c r="B16" s="12">
        <f t="shared" si="0"/>
        <v>38.753441613</v>
      </c>
      <c r="C16" s="12">
        <v>24.556371484</v>
      </c>
      <c r="D16" s="12">
        <v>5.8549841630000001</v>
      </c>
      <c r="E16" s="12">
        <v>8.3420859660000009</v>
      </c>
      <c r="H16" s="14"/>
    </row>
    <row r="17" spans="1:9">
      <c r="A17" s="2">
        <v>42916</v>
      </c>
      <c r="B17" s="12">
        <f t="shared" si="0"/>
        <v>40.215958778000001</v>
      </c>
      <c r="C17" s="12">
        <v>25.196457605999999</v>
      </c>
      <c r="D17" s="12">
        <v>6.2635079329999996</v>
      </c>
      <c r="E17" s="12">
        <v>8.7559932390000004</v>
      </c>
      <c r="H17" s="14"/>
    </row>
    <row r="18" spans="1:9">
      <c r="A18" s="2">
        <v>43008</v>
      </c>
      <c r="B18" s="12">
        <f t="shared" si="0"/>
        <v>37.160685338</v>
      </c>
      <c r="C18" s="12">
        <v>26.721729252999999</v>
      </c>
      <c r="D18" s="12">
        <v>6.63462263</v>
      </c>
      <c r="E18" s="12">
        <v>3.8043334550000001</v>
      </c>
      <c r="H18" s="14"/>
    </row>
    <row r="19" spans="1:9">
      <c r="A19" s="2">
        <v>43100</v>
      </c>
      <c r="B19" s="12">
        <f t="shared" si="0"/>
        <v>37.064579146</v>
      </c>
      <c r="C19" s="12">
        <v>25.902338299</v>
      </c>
      <c r="D19" s="12">
        <v>7.4601052159999997</v>
      </c>
      <c r="E19" s="12">
        <v>3.702135631</v>
      </c>
      <c r="H19" s="14"/>
    </row>
    <row r="20" spans="1:9">
      <c r="A20" s="2">
        <v>43190</v>
      </c>
      <c r="B20" s="12">
        <f t="shared" si="0"/>
        <v>43.153911897</v>
      </c>
      <c r="C20" s="12">
        <v>27.681152106999999</v>
      </c>
      <c r="D20" s="12">
        <v>8.5720385130000007</v>
      </c>
      <c r="E20" s="12">
        <v>6.9007212769999997</v>
      </c>
      <c r="H20" s="14"/>
    </row>
    <row r="21" spans="1:9">
      <c r="A21" s="2">
        <v>43281</v>
      </c>
      <c r="B21" s="12">
        <f t="shared" si="0"/>
        <v>44.196482622000005</v>
      </c>
      <c r="C21" s="12">
        <v>29.050702355999999</v>
      </c>
      <c r="D21" s="12">
        <v>9.0000776709999997</v>
      </c>
      <c r="E21" s="12">
        <v>6.1457025950000004</v>
      </c>
      <c r="H21" s="14"/>
    </row>
    <row r="22" spans="1:9">
      <c r="A22" s="2">
        <v>43373</v>
      </c>
      <c r="B22" s="12">
        <f t="shared" si="0"/>
        <v>40.813036253999996</v>
      </c>
      <c r="C22" s="12">
        <v>27.757315965</v>
      </c>
      <c r="D22" s="12">
        <v>9.0550357990000006</v>
      </c>
      <c r="E22" s="12">
        <v>4.0006844900000003</v>
      </c>
      <c r="H22" s="14"/>
    </row>
    <row r="23" spans="1:9">
      <c r="A23" s="2">
        <v>43465</v>
      </c>
      <c r="B23" s="12">
        <f t="shared" si="0"/>
        <v>38.870009405999994</v>
      </c>
      <c r="C23" s="12">
        <v>25.282410306999999</v>
      </c>
      <c r="D23" s="12">
        <v>9.6894778329999998</v>
      </c>
      <c r="E23" s="12">
        <v>3.898121266</v>
      </c>
      <c r="H23" s="14"/>
    </row>
    <row r="24" spans="1:9">
      <c r="A24" s="2">
        <v>43555</v>
      </c>
      <c r="B24" s="12">
        <f t="shared" si="0"/>
        <v>41.435099836000006</v>
      </c>
      <c r="C24" s="12">
        <v>27.442773070000001</v>
      </c>
      <c r="D24" s="12">
        <v>10.216787918</v>
      </c>
      <c r="E24" s="12">
        <v>3.7755388480000001</v>
      </c>
      <c r="H24" s="12"/>
      <c r="I24" s="12"/>
    </row>
    <row r="25" spans="1:9">
      <c r="A25" s="2">
        <v>43646</v>
      </c>
      <c r="B25" s="12">
        <f t="shared" si="0"/>
        <v>43.295013263000001</v>
      </c>
      <c r="C25" s="12">
        <v>28.755915265999999</v>
      </c>
      <c r="D25" s="12">
        <v>10.746527392000001</v>
      </c>
      <c r="E25" s="12">
        <v>3.7925706049999999</v>
      </c>
      <c r="H25" s="12"/>
      <c r="I25" s="12"/>
    </row>
    <row r="26" spans="1:9">
      <c r="A26" s="2">
        <v>43738</v>
      </c>
      <c r="B26" s="12">
        <f t="shared" si="0"/>
        <v>45.741107779999993</v>
      </c>
      <c r="C26" s="9">
        <v>29.949277054</v>
      </c>
      <c r="D26" s="9">
        <v>11.631740976</v>
      </c>
      <c r="E26" s="9">
        <v>4.16008975</v>
      </c>
      <c r="H26" s="12"/>
      <c r="I26" s="12"/>
    </row>
    <row r="27" spans="1:9">
      <c r="A27" s="2">
        <v>43830</v>
      </c>
      <c r="B27" s="12">
        <f t="shared" si="0"/>
        <v>47.307478625000002</v>
      </c>
      <c r="C27" s="9">
        <v>30.476452024</v>
      </c>
      <c r="D27" s="9">
        <v>12.415466172</v>
      </c>
      <c r="E27" s="9">
        <v>4.4155604290000001</v>
      </c>
      <c r="H27" s="12"/>
      <c r="I27" s="12"/>
    </row>
    <row r="28" spans="1:9">
      <c r="A28" s="2">
        <v>43921</v>
      </c>
      <c r="B28" s="12">
        <f t="shared" si="0"/>
        <v>48.658675442000003</v>
      </c>
      <c r="C28" s="9">
        <v>31.006983128000002</v>
      </c>
      <c r="D28" s="9">
        <v>13.452639782</v>
      </c>
      <c r="E28" s="9">
        <v>4.1990525319999996</v>
      </c>
    </row>
    <row r="29" spans="1:9">
      <c r="A29" s="2">
        <v>44012</v>
      </c>
      <c r="B29" s="12">
        <f>SUM(C29:E29)</f>
        <v>52.603942455999999</v>
      </c>
      <c r="C29" s="9">
        <f>34549028660/1000000000</f>
        <v>34.549028659999998</v>
      </c>
      <c r="D29" s="9">
        <f>13994527896/1000000000</f>
        <v>13.994527895999999</v>
      </c>
      <c r="E29" s="9">
        <f>4060385900/1000000000</f>
        <v>4.0603859</v>
      </c>
      <c r="H29" s="12"/>
      <c r="I29" s="12"/>
    </row>
  </sheetData>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AA29"/>
  <sheetViews>
    <sheetView workbookViewId="0">
      <selection activeCell="K6" sqref="K6:K7"/>
    </sheetView>
  </sheetViews>
  <sheetFormatPr defaultRowHeight="15"/>
  <cols>
    <col min="1" max="1" width="10" customWidth="1"/>
    <col min="2" max="2" width="20.5703125" customWidth="1"/>
    <col min="3" max="3" width="10.5703125" bestFit="1" customWidth="1"/>
  </cols>
  <sheetData>
    <row r="1" spans="1:27">
      <c r="A1" s="1" t="s">
        <v>0</v>
      </c>
      <c r="B1" t="s">
        <v>55</v>
      </c>
    </row>
    <row r="2" spans="1:27">
      <c r="A2" s="1" t="s">
        <v>1</v>
      </c>
      <c r="B2" t="s">
        <v>4</v>
      </c>
    </row>
    <row r="3" spans="1:27">
      <c r="A3" s="1" t="s">
        <v>2</v>
      </c>
      <c r="B3" t="s">
        <v>9</v>
      </c>
    </row>
    <row r="4" spans="1:27">
      <c r="A4" s="1" t="s">
        <v>3</v>
      </c>
      <c r="B4" t="s">
        <v>90</v>
      </c>
    </row>
    <row r="7" spans="1:27">
      <c r="A7" s="3"/>
      <c r="B7" s="5" t="s">
        <v>35</v>
      </c>
      <c r="C7" s="5" t="s">
        <v>38</v>
      </c>
    </row>
    <row r="8" spans="1:27">
      <c r="A8" s="2">
        <v>42094</v>
      </c>
      <c r="B8" s="9">
        <v>28.4100846608282</v>
      </c>
      <c r="C8" s="9">
        <v>22.126086040062226</v>
      </c>
      <c r="E8" s="35"/>
    </row>
    <row r="9" spans="1:27">
      <c r="A9" s="2">
        <v>42185</v>
      </c>
      <c r="B9" s="9">
        <v>20.827556302146771</v>
      </c>
      <c r="C9" s="9">
        <v>22.257339968164025</v>
      </c>
      <c r="E9" s="35"/>
    </row>
    <row r="10" spans="1:27">
      <c r="A10" s="2">
        <v>42277</v>
      </c>
      <c r="B10" s="9">
        <v>18.755009557455267</v>
      </c>
      <c r="C10" s="9">
        <v>22.529091126605199</v>
      </c>
      <c r="E10" s="35"/>
      <c r="G10" s="34"/>
      <c r="H10" s="34"/>
      <c r="I10" s="34"/>
      <c r="J10" s="34"/>
      <c r="K10" s="34"/>
      <c r="L10" s="34"/>
      <c r="M10" s="34"/>
      <c r="N10" s="34"/>
      <c r="O10" s="34"/>
      <c r="P10" s="34"/>
      <c r="Q10" s="34"/>
      <c r="R10" s="34"/>
      <c r="S10" s="34"/>
      <c r="T10" s="34"/>
      <c r="U10" s="34"/>
      <c r="V10" s="34"/>
      <c r="W10" s="34"/>
      <c r="X10" s="34"/>
      <c r="Y10" s="34"/>
      <c r="Z10" s="34"/>
      <c r="AA10" s="34"/>
    </row>
    <row r="11" spans="1:27">
      <c r="A11" s="2">
        <v>42369</v>
      </c>
      <c r="B11" s="9">
        <v>6.5548302819183331</v>
      </c>
      <c r="C11" s="9">
        <v>18.636870200587143</v>
      </c>
      <c r="E11" s="35"/>
    </row>
    <row r="12" spans="1:27">
      <c r="A12" s="2">
        <v>42460</v>
      </c>
      <c r="B12" s="9">
        <v>31.578806041159147</v>
      </c>
      <c r="C12" s="9">
        <v>19.429050545669881</v>
      </c>
      <c r="E12" s="35"/>
    </row>
    <row r="13" spans="1:27">
      <c r="A13" s="2">
        <v>42551</v>
      </c>
      <c r="B13" s="9">
        <v>15.7178371431821</v>
      </c>
      <c r="C13" s="9">
        <v>18.151620755928715</v>
      </c>
      <c r="E13" s="35"/>
    </row>
    <row r="14" spans="1:27">
      <c r="A14" s="2">
        <v>42643</v>
      </c>
      <c r="B14" s="9">
        <v>15.048989102898732</v>
      </c>
      <c r="C14" s="9">
        <v>17.22511564228958</v>
      </c>
      <c r="E14" s="35"/>
    </row>
    <row r="15" spans="1:27">
      <c r="A15" s="2">
        <v>42735</v>
      </c>
      <c r="B15" s="9">
        <v>2.6807131946298641</v>
      </c>
      <c r="C15" s="9">
        <v>16.256586370467463</v>
      </c>
      <c r="E15" s="35"/>
    </row>
    <row r="16" spans="1:27">
      <c r="A16" s="2">
        <v>42825</v>
      </c>
      <c r="B16" s="9">
        <v>34.371827818958558</v>
      </c>
      <c r="C16" s="9">
        <v>16.954841814917316</v>
      </c>
      <c r="E16" s="35"/>
    </row>
    <row r="17" spans="1:5">
      <c r="A17" s="2">
        <v>42916</v>
      </c>
      <c r="B17" s="9">
        <v>17.209899457552797</v>
      </c>
      <c r="C17" s="9">
        <v>17.327857393509987</v>
      </c>
      <c r="E17" s="35"/>
    </row>
    <row r="18" spans="1:5">
      <c r="A18" s="2">
        <v>43008</v>
      </c>
      <c r="B18" s="9">
        <v>16.296543768416502</v>
      </c>
      <c r="C18" s="9">
        <v>17.639746059889429</v>
      </c>
      <c r="E18" s="35"/>
    </row>
    <row r="19" spans="1:5">
      <c r="A19" s="2">
        <v>43100</v>
      </c>
      <c r="B19" s="9">
        <v>9.8571599901144609</v>
      </c>
      <c r="C19" s="9">
        <v>19.433857758760581</v>
      </c>
      <c r="E19" s="35"/>
    </row>
    <row r="20" spans="1:5">
      <c r="A20" s="2">
        <v>43190</v>
      </c>
      <c r="B20" s="9">
        <v>30.387629693835809</v>
      </c>
      <c r="C20" s="9">
        <v>18.437808227479895</v>
      </c>
      <c r="E20" s="35"/>
    </row>
    <row r="21" spans="1:5">
      <c r="A21" s="2">
        <v>43281</v>
      </c>
      <c r="B21" s="9">
        <v>16.203806288995668</v>
      </c>
      <c r="C21" s="9">
        <v>18.186284935340613</v>
      </c>
      <c r="E21" s="35"/>
    </row>
    <row r="22" spans="1:5">
      <c r="A22" s="2">
        <v>43373</v>
      </c>
      <c r="B22" s="9">
        <v>15.143062818390312</v>
      </c>
      <c r="C22" s="9">
        <v>17.897914697834061</v>
      </c>
      <c r="E22" s="35"/>
    </row>
    <row r="23" spans="1:5">
      <c r="A23" s="2">
        <v>43465</v>
      </c>
      <c r="B23" s="9">
        <v>4.9558109708448237</v>
      </c>
      <c r="C23" s="9">
        <v>16.672577443016653</v>
      </c>
      <c r="E23" s="35"/>
    </row>
    <row r="24" spans="1:5">
      <c r="A24" s="2">
        <v>43555</v>
      </c>
      <c r="B24" s="9">
        <v>24.042845822689991</v>
      </c>
      <c r="C24" s="9">
        <v>15.086381475230198</v>
      </c>
      <c r="E24" s="35"/>
    </row>
    <row r="25" spans="1:5">
      <c r="A25" s="2">
        <v>43646</v>
      </c>
      <c r="B25" s="9">
        <v>9.6513394112335984</v>
      </c>
      <c r="C25" s="9">
        <v>13.44826475578968</v>
      </c>
      <c r="E25" s="35"/>
    </row>
    <row r="26" spans="1:5">
      <c r="A26" s="2">
        <v>43738</v>
      </c>
      <c r="B26" s="9">
        <v>12.065062240476053</v>
      </c>
      <c r="C26" s="9">
        <v>12.678764611311117</v>
      </c>
      <c r="E26" s="35"/>
    </row>
    <row r="27" spans="1:5">
      <c r="A27" s="2">
        <v>43830</v>
      </c>
      <c r="B27" s="9">
        <v>3.4695220900026054</v>
      </c>
      <c r="C27" s="9">
        <v>12.307192391100564</v>
      </c>
      <c r="E27" s="35"/>
    </row>
    <row r="28" spans="1:5">
      <c r="A28" s="2">
        <v>43921</v>
      </c>
      <c r="B28" s="9">
        <v>22.520329165807347</v>
      </c>
      <c r="C28" s="9">
        <v>11.926563226879901</v>
      </c>
      <c r="E28" s="35"/>
    </row>
    <row r="29" spans="1:5">
      <c r="A29" s="2">
        <v>44012</v>
      </c>
      <c r="B29" s="9">
        <v>14.491950950865018</v>
      </c>
      <c r="C29" s="9">
        <v>13.136716111787756</v>
      </c>
      <c r="E29" s="35"/>
    </row>
  </sheetData>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D29"/>
  <sheetViews>
    <sheetView workbookViewId="0">
      <selection activeCell="K29" sqref="K29"/>
    </sheetView>
  </sheetViews>
  <sheetFormatPr defaultRowHeight="15"/>
  <cols>
    <col min="1" max="1" width="10" customWidth="1"/>
    <col min="2" max="2" width="20.5703125" customWidth="1"/>
    <col min="3" max="3" width="20.28515625" customWidth="1"/>
    <col min="4" max="4" width="10.5703125" bestFit="1" customWidth="1"/>
  </cols>
  <sheetData>
    <row r="1" spans="1:4">
      <c r="A1" s="1" t="s">
        <v>0</v>
      </c>
      <c r="B1" t="s">
        <v>54</v>
      </c>
    </row>
    <row r="2" spans="1:4">
      <c r="A2" s="1" t="s">
        <v>1</v>
      </c>
      <c r="B2" t="s">
        <v>16</v>
      </c>
    </row>
    <row r="3" spans="1:4">
      <c r="A3" s="1" t="s">
        <v>2</v>
      </c>
      <c r="B3" t="s">
        <v>9</v>
      </c>
    </row>
    <row r="4" spans="1:4">
      <c r="A4" s="1" t="s">
        <v>3</v>
      </c>
    </row>
    <row r="7" spans="1:4">
      <c r="A7" s="3"/>
      <c r="B7" s="5" t="s">
        <v>32</v>
      </c>
      <c r="C7" s="5" t="s">
        <v>18</v>
      </c>
      <c r="D7" s="5" t="s">
        <v>21</v>
      </c>
    </row>
    <row r="8" spans="1:4">
      <c r="A8" s="2">
        <v>42094</v>
      </c>
      <c r="B8" s="9">
        <v>30.167885889000001</v>
      </c>
      <c r="C8" s="9">
        <v>22.312726502</v>
      </c>
      <c r="D8" s="9">
        <v>7.8525469609999998</v>
      </c>
    </row>
    <row r="9" spans="1:4">
      <c r="A9" s="2">
        <v>42185</v>
      </c>
      <c r="B9" s="9">
        <v>24.544648375000001</v>
      </c>
      <c r="C9" s="9">
        <v>15.775879543</v>
      </c>
      <c r="D9" s="9">
        <v>8.7687688319999992</v>
      </c>
    </row>
    <row r="10" spans="1:4">
      <c r="A10" s="2">
        <v>42277</v>
      </c>
      <c r="B10" s="9">
        <v>24.721752314</v>
      </c>
      <c r="C10" s="9">
        <v>15.998442616</v>
      </c>
      <c r="D10" s="9">
        <v>8.7233096979999996</v>
      </c>
    </row>
    <row r="11" spans="1:4">
      <c r="A11" s="2">
        <v>42369</v>
      </c>
      <c r="B11" s="9">
        <v>25.816719436</v>
      </c>
      <c r="C11" s="9">
        <v>16.509659768999999</v>
      </c>
      <c r="D11" s="9">
        <v>9.3070596670000008</v>
      </c>
    </row>
    <row r="12" spans="1:4">
      <c r="A12" s="2">
        <v>42460</v>
      </c>
      <c r="B12" s="9">
        <v>26.830884743999999</v>
      </c>
      <c r="C12" s="9">
        <v>17.551392658000001</v>
      </c>
      <c r="D12" s="9">
        <v>9.2794920859999994</v>
      </c>
    </row>
    <row r="13" spans="1:4">
      <c r="A13" s="2">
        <v>42551</v>
      </c>
      <c r="B13" s="9">
        <v>28.630788913</v>
      </c>
      <c r="C13" s="9">
        <v>18.947934231000001</v>
      </c>
      <c r="D13" s="9">
        <v>9.6828546820000003</v>
      </c>
    </row>
    <row r="14" spans="1:4">
      <c r="A14" s="2">
        <v>42643</v>
      </c>
      <c r="B14" s="9">
        <v>39.129098112000001</v>
      </c>
      <c r="C14" s="9">
        <v>22.136504408</v>
      </c>
      <c r="D14" s="9">
        <v>16.990131769000001</v>
      </c>
    </row>
    <row r="15" spans="1:4">
      <c r="A15" s="2">
        <v>42735</v>
      </c>
      <c r="B15" s="9">
        <v>37.120414988999997</v>
      </c>
      <c r="C15" s="9">
        <v>22.605211570000002</v>
      </c>
      <c r="D15" s="9">
        <v>14.512808761000001</v>
      </c>
    </row>
    <row r="16" spans="1:4">
      <c r="A16" s="2">
        <v>42825</v>
      </c>
      <c r="B16" s="9">
        <v>37.186910636</v>
      </c>
      <c r="C16" s="9">
        <v>22.778186643000002</v>
      </c>
      <c r="D16" s="9">
        <v>14.406383221</v>
      </c>
    </row>
    <row r="17" spans="1:4">
      <c r="A17" s="2">
        <v>42916</v>
      </c>
      <c r="B17" s="9">
        <v>38.641512661999997</v>
      </c>
      <c r="C17" s="9">
        <v>23.475899235</v>
      </c>
      <c r="D17" s="9">
        <v>15.163372426</v>
      </c>
    </row>
    <row r="18" spans="1:4">
      <c r="A18" s="2">
        <v>43008</v>
      </c>
      <c r="B18" s="9">
        <v>38.474094295</v>
      </c>
      <c r="C18" s="9">
        <v>23.231356731000002</v>
      </c>
      <c r="D18" s="9">
        <v>15.240483587</v>
      </c>
    </row>
    <row r="19" spans="1:4">
      <c r="A19" s="2">
        <v>43100</v>
      </c>
      <c r="B19" s="9">
        <v>45.388864722999998</v>
      </c>
      <c r="C19" s="9">
        <v>25.695361342999998</v>
      </c>
      <c r="D19" s="9">
        <v>19.691330368999999</v>
      </c>
    </row>
    <row r="20" spans="1:4">
      <c r="A20" s="2">
        <v>43190</v>
      </c>
      <c r="B20" s="9">
        <v>49.148104494000002</v>
      </c>
      <c r="C20" s="9">
        <v>26.385345567000002</v>
      </c>
      <c r="D20" s="9">
        <v>22.762758927</v>
      </c>
    </row>
    <row r="21" spans="1:4">
      <c r="A21" s="2">
        <v>43281</v>
      </c>
      <c r="B21" s="9">
        <v>53.051143971000002</v>
      </c>
      <c r="C21" s="9">
        <v>29.115389228000002</v>
      </c>
      <c r="D21" s="9">
        <v>23.933426627999999</v>
      </c>
    </row>
    <row r="22" spans="1:4">
      <c r="A22" s="2">
        <v>43373</v>
      </c>
      <c r="B22" s="9">
        <v>56.294548855999999</v>
      </c>
      <c r="C22" s="9">
        <v>31.971539146000001</v>
      </c>
      <c r="D22" s="9">
        <v>24.320732087</v>
      </c>
    </row>
    <row r="23" spans="1:4">
      <c r="A23" s="2">
        <v>43465</v>
      </c>
      <c r="B23" s="9">
        <v>57.413721860000003</v>
      </c>
      <c r="C23" s="9">
        <v>32.338374913999999</v>
      </c>
      <c r="D23" s="9">
        <v>25.073218947000001</v>
      </c>
    </row>
    <row r="24" spans="1:4">
      <c r="A24" s="2">
        <v>43555</v>
      </c>
      <c r="B24" s="9">
        <v>58.245183253999997</v>
      </c>
      <c r="C24" s="9">
        <v>34.054530640999999</v>
      </c>
      <c r="D24" s="9">
        <v>24.188459859999998</v>
      </c>
    </row>
    <row r="25" spans="1:4">
      <c r="A25" s="2">
        <v>43646</v>
      </c>
      <c r="B25" s="9">
        <v>60.859926303999998</v>
      </c>
      <c r="C25" s="9">
        <v>35.817531025000001</v>
      </c>
      <c r="D25" s="9">
        <v>25.040205645</v>
      </c>
    </row>
    <row r="26" spans="1:4">
      <c r="A26" s="2">
        <v>43738</v>
      </c>
      <c r="B26" s="9">
        <v>59.856975568999999</v>
      </c>
      <c r="C26" s="9">
        <v>34.858515390999997</v>
      </c>
      <c r="D26" s="9">
        <v>24.996317996999998</v>
      </c>
    </row>
    <row r="27" spans="1:4">
      <c r="A27" s="2">
        <v>43830</v>
      </c>
      <c r="B27" s="9">
        <v>62.982803973000003</v>
      </c>
      <c r="C27" s="9">
        <v>36.481013644999997</v>
      </c>
      <c r="D27" s="9">
        <v>26.499720669999999</v>
      </c>
    </row>
    <row r="28" spans="1:4">
      <c r="A28" s="2">
        <v>43921</v>
      </c>
      <c r="B28" s="9">
        <f>63850855915/1000000000</f>
        <v>63.850855914999997</v>
      </c>
      <c r="C28" s="9">
        <v>35.959494231999997</v>
      </c>
      <c r="D28" s="9">
        <v>27.889522933999999</v>
      </c>
    </row>
    <row r="29" spans="1:4">
      <c r="A29" s="2">
        <v>44012</v>
      </c>
      <c r="B29" s="9">
        <f>62017503245/1000000000</f>
        <v>62.017503245</v>
      </c>
      <c r="C29" s="9">
        <f>32766697029/1000000000</f>
        <v>32.766697028999999</v>
      </c>
      <c r="D29" s="9">
        <f>29248993077/1000000000</f>
        <v>29.248993077000002</v>
      </c>
    </row>
  </sheetData>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E29"/>
  <sheetViews>
    <sheetView workbookViewId="0">
      <selection activeCell="C30" sqref="C30"/>
    </sheetView>
  </sheetViews>
  <sheetFormatPr defaultRowHeight="15"/>
  <cols>
    <col min="1" max="1" width="10" customWidth="1"/>
    <col min="2" max="2" width="20.5703125" customWidth="1"/>
    <col min="3" max="4" width="20.28515625" customWidth="1"/>
  </cols>
  <sheetData>
    <row r="1" spans="1:5">
      <c r="A1" s="1" t="s">
        <v>0</v>
      </c>
      <c r="B1" t="s">
        <v>53</v>
      </c>
    </row>
    <row r="2" spans="1:5">
      <c r="A2" s="1" t="s">
        <v>1</v>
      </c>
      <c r="B2" t="s">
        <v>4</v>
      </c>
    </row>
    <row r="3" spans="1:5">
      <c r="A3" s="1" t="s">
        <v>2</v>
      </c>
      <c r="B3" t="s">
        <v>9</v>
      </c>
    </row>
    <row r="4" spans="1:5">
      <c r="A4" s="1" t="s">
        <v>3</v>
      </c>
      <c r="B4" t="s">
        <v>85</v>
      </c>
    </row>
    <row r="6" spans="1:5">
      <c r="D6" s="10"/>
      <c r="E6" s="10"/>
    </row>
    <row r="7" spans="1:5">
      <c r="A7" s="3"/>
      <c r="B7" s="5" t="s">
        <v>27</v>
      </c>
      <c r="C7" s="5" t="s">
        <v>28</v>
      </c>
      <c r="D7" s="11"/>
      <c r="E7" s="11"/>
    </row>
    <row r="8" spans="1:5">
      <c r="A8" s="2">
        <v>42094</v>
      </c>
      <c r="B8" s="27">
        <v>2.8391318737859552</v>
      </c>
      <c r="C8" s="27">
        <v>0.41457258874273534</v>
      </c>
    </row>
    <row r="9" spans="1:5">
      <c r="A9" s="2">
        <v>42185</v>
      </c>
      <c r="B9" s="27">
        <v>2.195259499045215</v>
      </c>
      <c r="C9" s="27">
        <v>0.37652396470537464</v>
      </c>
    </row>
    <row r="10" spans="1:5">
      <c r="A10" s="2">
        <v>42277</v>
      </c>
      <c r="B10" s="27">
        <v>1.9578284991319825</v>
      </c>
      <c r="C10" s="27">
        <v>0.36553071716270324</v>
      </c>
    </row>
    <row r="11" spans="1:5">
      <c r="A11" s="2">
        <v>42369</v>
      </c>
      <c r="B11" s="27">
        <v>1.145337934684475</v>
      </c>
      <c r="C11" s="27">
        <v>0.29287331143851686</v>
      </c>
    </row>
    <row r="12" spans="1:5">
      <c r="A12" s="2">
        <v>42460</v>
      </c>
      <c r="B12" s="27">
        <v>2.8970170437851919</v>
      </c>
      <c r="C12" s="27">
        <v>0.22509507274649448</v>
      </c>
    </row>
    <row r="13" spans="1:5">
      <c r="A13" s="2">
        <v>42551</v>
      </c>
      <c r="B13" s="27">
        <v>1.7683316164205289</v>
      </c>
      <c r="C13" s="27">
        <v>0.26450098921671156</v>
      </c>
    </row>
    <row r="14" spans="1:5">
      <c r="A14" s="2">
        <v>42643</v>
      </c>
      <c r="B14" s="27">
        <v>1.7018857303812407</v>
      </c>
      <c r="C14" s="27">
        <v>0.25039653567679371</v>
      </c>
    </row>
    <row r="15" spans="1:5">
      <c r="A15" s="2">
        <v>42735</v>
      </c>
      <c r="B15" s="27">
        <v>1.0118859811377299</v>
      </c>
      <c r="C15" s="27">
        <v>0.19846961233888216</v>
      </c>
    </row>
    <row r="16" spans="1:5">
      <c r="A16" s="2">
        <v>42825</v>
      </c>
      <c r="B16" s="27">
        <v>2.7310044676111489</v>
      </c>
      <c r="C16" s="27">
        <v>0.28107366666579858</v>
      </c>
    </row>
    <row r="17" spans="1:3">
      <c r="A17" s="2">
        <v>42916</v>
      </c>
      <c r="B17" s="27">
        <v>1.8501123089531371</v>
      </c>
      <c r="C17" s="27">
        <v>0.31608300212764412</v>
      </c>
    </row>
    <row r="18" spans="1:3">
      <c r="A18" s="2">
        <v>43008</v>
      </c>
      <c r="B18" s="27">
        <v>1.7625345544334217</v>
      </c>
      <c r="C18" s="27">
        <v>0.31326533463378625</v>
      </c>
    </row>
    <row r="19" spans="1:3">
      <c r="A19" s="2">
        <v>43100</v>
      </c>
      <c r="B19" s="27">
        <v>0.90696857402663389</v>
      </c>
      <c r="C19" s="27">
        <v>0.23470167590804261</v>
      </c>
    </row>
    <row r="20" spans="1:3">
      <c r="A20" s="2">
        <v>43190</v>
      </c>
      <c r="B20" s="27">
        <v>2.2576551894097179</v>
      </c>
      <c r="C20" s="27">
        <v>0.20762940220394138</v>
      </c>
    </row>
    <row r="21" spans="1:3">
      <c r="A21" s="2">
        <v>43281</v>
      </c>
      <c r="B21" s="27">
        <v>1.5628627421904413</v>
      </c>
      <c r="C21" s="27">
        <v>0.37891739568229699</v>
      </c>
    </row>
    <row r="22" spans="1:3">
      <c r="A22" s="2">
        <v>43373</v>
      </c>
      <c r="B22" s="27">
        <v>1.4737254498153969</v>
      </c>
      <c r="C22" s="27">
        <v>0.32097595723582728</v>
      </c>
    </row>
    <row r="23" spans="1:3">
      <c r="A23" s="2">
        <v>43465</v>
      </c>
      <c r="B23" s="27">
        <v>0.82214246498091592</v>
      </c>
      <c r="C23" s="27">
        <v>0.33966977714164975</v>
      </c>
    </row>
    <row r="24" spans="1:3">
      <c r="A24" s="2">
        <v>43555</v>
      </c>
      <c r="B24" s="27">
        <v>1.8921554580023519</v>
      </c>
      <c r="C24" s="27">
        <v>0.76827195978720431</v>
      </c>
    </row>
    <row r="25" spans="1:3">
      <c r="A25" s="2">
        <v>43646</v>
      </c>
      <c r="B25" s="27">
        <v>1.4557283404019881</v>
      </c>
      <c r="C25" s="27">
        <v>0.74204045621695935</v>
      </c>
    </row>
    <row r="26" spans="1:3">
      <c r="A26" s="2">
        <v>43738</v>
      </c>
      <c r="B26" s="27">
        <v>1.2695095618635688</v>
      </c>
      <c r="C26" s="27">
        <v>0.71780410030120889</v>
      </c>
    </row>
    <row r="27" spans="1:3">
      <c r="A27" s="2">
        <v>43830</v>
      </c>
      <c r="B27" s="27">
        <v>0.66453362590137144</v>
      </c>
      <c r="C27" s="27">
        <v>0.67820048242862319</v>
      </c>
    </row>
    <row r="28" spans="1:3">
      <c r="A28" s="2">
        <v>43921</v>
      </c>
      <c r="B28" s="27">
        <v>2.22952029934598</v>
      </c>
      <c r="C28" s="27">
        <v>0.76864432992693998</v>
      </c>
    </row>
    <row r="29" spans="1:3">
      <c r="A29" s="2">
        <v>44012</v>
      </c>
      <c r="B29" s="27">
        <f>0.0180643440910351*100</f>
        <v>1.8064344091035098</v>
      </c>
      <c r="C29" s="27">
        <f>0.00746371942391491*100</f>
        <v>0.74637194239149096</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G54"/>
  <sheetViews>
    <sheetView workbookViewId="0">
      <selection activeCell="G16" sqref="G16"/>
    </sheetView>
  </sheetViews>
  <sheetFormatPr defaultRowHeight="15"/>
  <cols>
    <col min="1" max="1" width="10" customWidth="1"/>
    <col min="2" max="2" width="21.28515625" customWidth="1"/>
    <col min="3" max="4" width="20.5703125" customWidth="1"/>
    <col min="5" max="5" width="11.7109375" customWidth="1"/>
    <col min="6" max="6" width="14.7109375" bestFit="1" customWidth="1"/>
    <col min="7" max="7" width="14.7109375" customWidth="1"/>
  </cols>
  <sheetData>
    <row r="1" spans="1:7">
      <c r="A1" s="1" t="s">
        <v>0</v>
      </c>
      <c r="B1" t="s">
        <v>46</v>
      </c>
    </row>
    <row r="2" spans="1:7">
      <c r="A2" s="1" t="s">
        <v>1</v>
      </c>
      <c r="B2" t="s">
        <v>16</v>
      </c>
    </row>
    <row r="3" spans="1:7">
      <c r="A3" s="1" t="s">
        <v>2</v>
      </c>
      <c r="B3" t="s">
        <v>22</v>
      </c>
    </row>
    <row r="4" spans="1:7">
      <c r="A4" s="1" t="s">
        <v>3</v>
      </c>
      <c r="B4" t="s">
        <v>26</v>
      </c>
    </row>
    <row r="7" spans="1:7">
      <c r="A7" s="3"/>
      <c r="B7" s="5" t="s">
        <v>14</v>
      </c>
      <c r="C7" s="5" t="s">
        <v>20</v>
      </c>
      <c r="D7" s="5" t="s">
        <v>17</v>
      </c>
      <c r="E7" s="5" t="s">
        <v>18</v>
      </c>
      <c r="F7" s="8" t="s">
        <v>21</v>
      </c>
      <c r="G7" s="18"/>
    </row>
    <row r="8" spans="1:7">
      <c r="A8" s="2">
        <v>42094</v>
      </c>
      <c r="B8" s="12">
        <f>D8+E8+F8</f>
        <v>4936.6714084680007</v>
      </c>
      <c r="C8" s="12">
        <v>3998.0819999999999</v>
      </c>
      <c r="D8" s="12">
        <v>2596.9101477600002</v>
      </c>
      <c r="E8" s="12">
        <v>1927.294652131</v>
      </c>
      <c r="F8" s="12">
        <v>412.46660857699999</v>
      </c>
      <c r="G8" s="12"/>
    </row>
    <row r="9" spans="1:7">
      <c r="A9" s="2">
        <v>42185</v>
      </c>
      <c r="B9" s="12">
        <f t="shared" ref="B9:B24" si="0">D9+E9+F9</f>
        <v>5027.4770591784363</v>
      </c>
      <c r="C9" s="12">
        <v>4064.471</v>
      </c>
      <c r="D9" s="12">
        <v>2674.8734601073352</v>
      </c>
      <c r="E9" s="12">
        <v>1933.814115014083</v>
      </c>
      <c r="F9" s="12">
        <v>418.78948405701794</v>
      </c>
      <c r="G9" s="12"/>
    </row>
    <row r="10" spans="1:7">
      <c r="A10" s="2">
        <v>42277</v>
      </c>
      <c r="B10" s="12">
        <f t="shared" si="0"/>
        <v>5062.7867368827501</v>
      </c>
      <c r="C10" s="12">
        <v>4128.9650000000001</v>
      </c>
      <c r="D10" s="12">
        <v>2729.5439915949032</v>
      </c>
      <c r="E10" s="12">
        <v>1917.3023103293319</v>
      </c>
      <c r="F10" s="12">
        <v>415.94043495851503</v>
      </c>
      <c r="G10" s="12"/>
    </row>
    <row r="11" spans="1:7">
      <c r="A11" s="2">
        <v>42369</v>
      </c>
      <c r="B11" s="12">
        <f t="shared" si="0"/>
        <v>5105.6687043226739</v>
      </c>
      <c r="C11" s="12">
        <v>4201.5429999999997</v>
      </c>
      <c r="D11" s="12">
        <v>2787.4796943544179</v>
      </c>
      <c r="E11" s="12">
        <v>1908.4609974544398</v>
      </c>
      <c r="F11" s="12">
        <v>409.728012513816</v>
      </c>
      <c r="G11" s="12"/>
    </row>
    <row r="12" spans="1:7">
      <c r="A12" s="2">
        <v>42460</v>
      </c>
      <c r="B12" s="12">
        <f t="shared" si="0"/>
        <v>5168.4623468754326</v>
      </c>
      <c r="C12" s="12">
        <v>4245.3209999999999</v>
      </c>
      <c r="D12" s="12">
        <v>2833.4203637787605</v>
      </c>
      <c r="E12" s="12">
        <v>1922.7522562631832</v>
      </c>
      <c r="F12" s="12">
        <v>412.28972683348894</v>
      </c>
    </row>
    <row r="13" spans="1:7">
      <c r="A13" s="2">
        <v>42551</v>
      </c>
      <c r="B13" s="12">
        <f t="shared" si="0"/>
        <v>5309.7261264884301</v>
      </c>
      <c r="C13" s="12">
        <v>4298.8779999999997</v>
      </c>
      <c r="D13" s="12">
        <v>2902.8939547680161</v>
      </c>
      <c r="E13" s="12">
        <v>1987.6876760884761</v>
      </c>
      <c r="F13" s="12">
        <v>419.14449563193801</v>
      </c>
    </row>
    <row r="14" spans="1:7">
      <c r="A14" s="2">
        <v>42643</v>
      </c>
      <c r="B14" s="12">
        <f t="shared" si="0"/>
        <v>5547.6333893483798</v>
      </c>
      <c r="C14" s="12">
        <v>4336.4520000000002</v>
      </c>
      <c r="D14" s="12">
        <v>2946.032124975347</v>
      </c>
      <c r="E14" s="12">
        <v>2176.7715042017089</v>
      </c>
      <c r="F14" s="12">
        <v>424.82976017132404</v>
      </c>
    </row>
    <row r="15" spans="1:7">
      <c r="A15" s="2">
        <v>42735</v>
      </c>
      <c r="B15" s="12">
        <f t="shared" si="0"/>
        <v>5573.9164001203535</v>
      </c>
      <c r="C15" s="12">
        <v>4385.4970000000003</v>
      </c>
      <c r="D15" s="12">
        <v>2996.0298753353109</v>
      </c>
      <c r="E15" s="12">
        <v>2156.2867312775902</v>
      </c>
      <c r="F15" s="12">
        <v>421.59979350745198</v>
      </c>
    </row>
    <row r="16" spans="1:7">
      <c r="A16" s="2">
        <v>42825</v>
      </c>
      <c r="B16" s="12">
        <f t="shared" si="0"/>
        <v>5699.2962247583228</v>
      </c>
      <c r="C16" s="12">
        <v>4441.4070000000002</v>
      </c>
      <c r="D16" s="12">
        <v>3041.7853190588203</v>
      </c>
      <c r="E16" s="12">
        <v>2230.5735768108548</v>
      </c>
      <c r="F16" s="12">
        <v>426.93732888864793</v>
      </c>
    </row>
    <row r="17" spans="1:7">
      <c r="A17" s="2">
        <v>42916</v>
      </c>
      <c r="B17" s="12">
        <f t="shared" si="0"/>
        <v>5826.1689049378356</v>
      </c>
      <c r="C17" s="12">
        <v>4488.8559999999998</v>
      </c>
      <c r="D17" s="12">
        <v>3101.2490449007814</v>
      </c>
      <c r="E17" s="12">
        <v>2282.534726824204</v>
      </c>
      <c r="F17" s="12">
        <v>442.38513321284995</v>
      </c>
    </row>
    <row r="18" spans="1:7">
      <c r="A18" s="2">
        <v>43008</v>
      </c>
      <c r="B18" s="12">
        <f t="shared" si="0"/>
        <v>5911.115993220551</v>
      </c>
      <c r="C18" s="12">
        <v>4530.9430000000002</v>
      </c>
      <c r="D18" s="12">
        <v>3152.446561112627</v>
      </c>
      <c r="E18" s="12">
        <v>2309.6069835705143</v>
      </c>
      <c r="F18" s="12">
        <v>449.06244853740901</v>
      </c>
    </row>
    <row r="19" spans="1:7">
      <c r="A19" s="2">
        <v>43100</v>
      </c>
      <c r="B19" s="12">
        <f t="shared" si="0"/>
        <v>5979.2960347716298</v>
      </c>
      <c r="C19" s="12">
        <v>4578.8329999999996</v>
      </c>
      <c r="D19" s="12">
        <v>3207.1598609187549</v>
      </c>
      <c r="E19" s="12">
        <v>2312.7756680233051</v>
      </c>
      <c r="F19" s="12">
        <v>459.36050582957</v>
      </c>
    </row>
    <row r="20" spans="1:7">
      <c r="A20" s="2">
        <v>43190</v>
      </c>
      <c r="B20" s="12">
        <f t="shared" si="0"/>
        <v>6099.2625178846893</v>
      </c>
      <c r="C20" s="12">
        <v>4635.9880000000003</v>
      </c>
      <c r="D20" s="12">
        <v>3251.12230721692</v>
      </c>
      <c r="E20" s="12">
        <v>2382.9780994546795</v>
      </c>
      <c r="F20" s="12">
        <v>465.16211121309004</v>
      </c>
    </row>
    <row r="21" spans="1:7">
      <c r="A21" s="2">
        <v>43281</v>
      </c>
      <c r="B21" s="12">
        <f t="shared" si="0"/>
        <v>6200.6567027543388</v>
      </c>
      <c r="C21" s="12">
        <v>4690.6080000000002</v>
      </c>
      <c r="D21" s="12">
        <v>3296.1162717149296</v>
      </c>
      <c r="E21" s="12">
        <v>2423.6726303562195</v>
      </c>
      <c r="F21" s="12">
        <v>480.86780068319007</v>
      </c>
    </row>
    <row r="22" spans="1:7">
      <c r="A22" s="2">
        <v>43373</v>
      </c>
      <c r="B22" s="12">
        <f t="shared" si="0"/>
        <v>6259.4647777280607</v>
      </c>
      <c r="C22" s="12">
        <v>4735.8639999999996</v>
      </c>
      <c r="D22" s="12">
        <v>3330.4147092675498</v>
      </c>
      <c r="E22" s="12">
        <v>2440.2302528166601</v>
      </c>
      <c r="F22" s="12">
        <v>488.81981564384995</v>
      </c>
    </row>
    <row r="23" spans="1:7">
      <c r="A23" s="2">
        <v>43465</v>
      </c>
      <c r="B23" s="12">
        <f t="shared" si="0"/>
        <v>6305.116780420849</v>
      </c>
      <c r="C23" s="12">
        <v>4789.8530000000001</v>
      </c>
      <c r="D23" s="12">
        <v>3376.9089378686699</v>
      </c>
      <c r="E23" s="12">
        <v>2445.4068010444698</v>
      </c>
      <c r="F23" s="12">
        <v>482.80104150771001</v>
      </c>
    </row>
    <row r="24" spans="1:7">
      <c r="A24" s="2">
        <v>43555</v>
      </c>
      <c r="B24" s="12">
        <f t="shared" si="0"/>
        <v>6380.5289864134311</v>
      </c>
      <c r="C24" s="12">
        <v>4845.6949999999997</v>
      </c>
      <c r="D24" s="12">
        <v>3405.3386862699303</v>
      </c>
      <c r="E24" s="12">
        <v>2486.5976637482204</v>
      </c>
      <c r="F24" s="12">
        <v>488.59263639528001</v>
      </c>
    </row>
    <row r="25" spans="1:7">
      <c r="A25" s="2">
        <v>43646</v>
      </c>
      <c r="B25" s="12">
        <f>D25+E25+F25</f>
        <v>6525.88191215802</v>
      </c>
      <c r="C25" s="12">
        <v>4897.674</v>
      </c>
      <c r="D25" s="12">
        <v>3468.3922899469799</v>
      </c>
      <c r="E25" s="12">
        <v>2552.3440626257598</v>
      </c>
      <c r="F25" s="12">
        <v>505.1455595852799</v>
      </c>
    </row>
    <row r="26" spans="1:7">
      <c r="A26" s="2">
        <v>43738</v>
      </c>
      <c r="B26" s="12">
        <f t="shared" ref="B26:B27" si="1">D26+E26+F26</f>
        <v>6541.0900711863178</v>
      </c>
      <c r="C26" s="12">
        <v>4903.62</v>
      </c>
      <c r="D26" s="12">
        <v>3489.9550755863283</v>
      </c>
      <c r="E26" s="12">
        <v>2540.6234801288006</v>
      </c>
      <c r="F26" s="12">
        <v>510.5115154711898</v>
      </c>
    </row>
    <row r="27" spans="1:7">
      <c r="A27" s="2">
        <v>43830</v>
      </c>
      <c r="B27" s="12">
        <f t="shared" si="1"/>
        <v>6574.0475428437512</v>
      </c>
      <c r="C27" s="12">
        <v>5026</v>
      </c>
      <c r="D27" s="12">
        <v>3540.0098228093302</v>
      </c>
      <c r="E27" s="12">
        <v>2526.0226467150801</v>
      </c>
      <c r="F27" s="12">
        <v>508.01507331934005</v>
      </c>
      <c r="G27" s="16"/>
    </row>
    <row r="28" spans="1:7">
      <c r="A28" s="2">
        <v>43921</v>
      </c>
      <c r="B28" s="12">
        <f t="shared" ref="B28:B29" si="2">D28+E28+F28</f>
        <v>6773.7011876383503</v>
      </c>
      <c r="C28" s="36">
        <f>C27*0.997</f>
        <v>5010.9219999999996</v>
      </c>
      <c r="D28" s="12">
        <v>3594.2636903403204</v>
      </c>
      <c r="E28" s="12">
        <v>2674.1220751861601</v>
      </c>
      <c r="F28" s="12">
        <v>505.31542211187013</v>
      </c>
      <c r="G28" s="16"/>
    </row>
    <row r="29" spans="1:7">
      <c r="A29" s="2">
        <v>44012</v>
      </c>
      <c r="B29" s="12">
        <f t="shared" si="2"/>
        <v>6881.7996594671495</v>
      </c>
      <c r="C29" s="12">
        <f>C28*0.914</f>
        <v>4579.9827079999995</v>
      </c>
      <c r="D29" s="12">
        <f>3650051774406.47/1000000000</f>
        <v>3650.05177440647</v>
      </c>
      <c r="E29" s="12">
        <f>2717017358517.21/1000000000</f>
        <v>2717.0173585172101</v>
      </c>
      <c r="F29" s="12">
        <f>514730526543.47/1000000000</f>
        <v>514.73052654346998</v>
      </c>
      <c r="G29" s="16"/>
    </row>
    <row r="30" spans="1:7">
      <c r="B30" s="16"/>
      <c r="D30" s="16"/>
      <c r="E30" s="16"/>
      <c r="F30" s="16"/>
      <c r="G30" s="16"/>
    </row>
    <row r="31" spans="1:7">
      <c r="B31" s="16"/>
      <c r="C31" s="16"/>
      <c r="D31" s="16"/>
      <c r="E31" s="16"/>
      <c r="F31" s="16"/>
      <c r="G31" s="16"/>
    </row>
    <row r="32" spans="1:7">
      <c r="B32" s="16"/>
      <c r="C32" s="16"/>
      <c r="D32" s="16"/>
      <c r="E32" s="16"/>
      <c r="F32" s="16"/>
      <c r="G32" s="16"/>
    </row>
    <row r="33" spans="2:7">
      <c r="B33" s="16"/>
      <c r="C33" s="16"/>
      <c r="D33" s="16"/>
      <c r="E33" s="16"/>
      <c r="F33" s="16"/>
      <c r="G33" s="16"/>
    </row>
    <row r="34" spans="2:7">
      <c r="B34" s="16"/>
      <c r="C34" s="16"/>
      <c r="D34" s="16"/>
      <c r="E34" s="16"/>
      <c r="F34" s="16"/>
      <c r="G34" s="16"/>
    </row>
    <row r="35" spans="2:7">
      <c r="B35" s="16"/>
      <c r="C35" s="16"/>
      <c r="D35" s="16"/>
      <c r="E35" s="12"/>
      <c r="F35" s="16"/>
      <c r="G35" s="16"/>
    </row>
    <row r="36" spans="2:7">
      <c r="B36" s="16"/>
      <c r="C36" s="16"/>
      <c r="D36" s="16"/>
      <c r="E36" s="12"/>
      <c r="F36" s="16"/>
      <c r="G36" s="16"/>
    </row>
    <row r="37" spans="2:7">
      <c r="B37" s="16"/>
      <c r="C37" s="16"/>
      <c r="D37" s="16"/>
      <c r="E37" s="12"/>
      <c r="F37" s="16"/>
      <c r="G37" s="16"/>
    </row>
    <row r="38" spans="2:7">
      <c r="B38" s="16"/>
      <c r="C38" s="16"/>
      <c r="D38" s="16"/>
      <c r="E38" s="12"/>
      <c r="F38" s="16"/>
      <c r="G38" s="16"/>
    </row>
    <row r="39" spans="2:7">
      <c r="B39" s="16"/>
      <c r="C39" s="16"/>
      <c r="D39" s="16"/>
      <c r="E39" s="12"/>
      <c r="F39" s="16"/>
      <c r="G39" s="16"/>
    </row>
    <row r="40" spans="2:7">
      <c r="B40" s="16"/>
      <c r="C40" s="16"/>
      <c r="D40" s="16"/>
      <c r="E40" s="12"/>
      <c r="F40" s="16"/>
      <c r="G40" s="16"/>
    </row>
    <row r="41" spans="2:7">
      <c r="B41" s="16"/>
      <c r="C41" s="16"/>
      <c r="E41" s="12"/>
    </row>
    <row r="42" spans="2:7">
      <c r="B42" s="16"/>
      <c r="C42" s="16"/>
      <c r="D42" s="16"/>
      <c r="E42" s="12"/>
      <c r="F42" s="16"/>
      <c r="G42" s="16"/>
    </row>
    <row r="43" spans="2:7">
      <c r="C43" s="16"/>
      <c r="E43" s="12"/>
    </row>
    <row r="44" spans="2:7">
      <c r="C44" s="16"/>
      <c r="E44" s="12"/>
    </row>
    <row r="45" spans="2:7">
      <c r="C45" s="16"/>
      <c r="E45" s="12"/>
    </row>
    <row r="46" spans="2:7">
      <c r="C46" s="16"/>
      <c r="E46" s="12"/>
    </row>
    <row r="47" spans="2:7">
      <c r="C47" s="16"/>
      <c r="E47" s="12"/>
    </row>
    <row r="48" spans="2:7">
      <c r="C48" s="16"/>
      <c r="E48" s="12"/>
    </row>
    <row r="49" spans="5:5">
      <c r="E49" s="12"/>
    </row>
    <row r="50" spans="5:5">
      <c r="E50" s="12"/>
    </row>
    <row r="51" spans="5:5">
      <c r="E51" s="12"/>
    </row>
    <row r="52" spans="5:5">
      <c r="E52" s="12"/>
    </row>
    <row r="53" spans="5:5">
      <c r="E53" s="12"/>
    </row>
    <row r="54" spans="5:5">
      <c r="E54" s="12"/>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F29"/>
  <sheetViews>
    <sheetView workbookViewId="0">
      <selection activeCell="R6" sqref="R6"/>
    </sheetView>
  </sheetViews>
  <sheetFormatPr defaultRowHeight="15"/>
  <cols>
    <col min="1" max="1" width="10" customWidth="1"/>
    <col min="2" max="2" width="20.5703125" customWidth="1"/>
    <col min="3" max="3" width="10.5703125" bestFit="1" customWidth="1"/>
    <col min="4" max="4" width="10.28515625" bestFit="1" customWidth="1"/>
    <col min="5" max="5" width="9.28515625" bestFit="1" customWidth="1"/>
    <col min="6" max="6" width="10.28515625" bestFit="1" customWidth="1"/>
  </cols>
  <sheetData>
    <row r="1" spans="1:6">
      <c r="A1" s="1" t="s">
        <v>0</v>
      </c>
      <c r="B1" t="s">
        <v>83</v>
      </c>
    </row>
    <row r="2" spans="1:6">
      <c r="A2" s="1" t="s">
        <v>1</v>
      </c>
      <c r="B2" t="s">
        <v>4</v>
      </c>
    </row>
    <row r="3" spans="1:6">
      <c r="A3" s="1" t="s">
        <v>2</v>
      </c>
      <c r="B3" t="s">
        <v>9</v>
      </c>
    </row>
    <row r="4" spans="1:6">
      <c r="A4" s="1" t="s">
        <v>3</v>
      </c>
      <c r="B4" t="s">
        <v>109</v>
      </c>
    </row>
    <row r="7" spans="1:6">
      <c r="A7" s="3"/>
      <c r="B7" s="5" t="s">
        <v>8</v>
      </c>
      <c r="C7" s="5" t="s">
        <v>12</v>
      </c>
      <c r="D7" s="5" t="s">
        <v>13</v>
      </c>
      <c r="E7" s="5" t="s">
        <v>49</v>
      </c>
      <c r="F7" s="5" t="s">
        <v>50</v>
      </c>
    </row>
    <row r="8" spans="1:6">
      <c r="A8" s="2">
        <v>42094</v>
      </c>
      <c r="B8" s="9">
        <v>48.857026692284443</v>
      </c>
      <c r="C8" s="9">
        <v>27.30135854740422</v>
      </c>
      <c r="D8" s="9">
        <v>4.557641470815792</v>
      </c>
      <c r="E8" s="9"/>
      <c r="F8" s="9">
        <v>20.400140393019655</v>
      </c>
    </row>
    <row r="9" spans="1:6">
      <c r="A9" s="2">
        <v>42185</v>
      </c>
      <c r="B9" s="9">
        <v>49.992238550465387</v>
      </c>
      <c r="C9" s="9">
        <v>30.415966823322716</v>
      </c>
      <c r="D9" s="9">
        <v>5.2537268283853962</v>
      </c>
      <c r="E9" s="9"/>
      <c r="F9" s="9">
        <v>13.651151084529015</v>
      </c>
    </row>
    <row r="10" spans="1:6">
      <c r="A10" s="2">
        <v>42277</v>
      </c>
      <c r="B10" s="9">
        <v>50.687195960780542</v>
      </c>
      <c r="C10" s="9">
        <v>28.47936601310332</v>
      </c>
      <c r="D10" s="9">
        <v>6.3738718976757172</v>
      </c>
      <c r="E10" s="9"/>
      <c r="F10" s="9">
        <v>12.532246310142622</v>
      </c>
    </row>
    <row r="11" spans="1:6">
      <c r="A11" s="2">
        <v>42369</v>
      </c>
      <c r="B11" s="9">
        <v>43.519504132855907</v>
      </c>
      <c r="C11" s="9">
        <v>28.761429974654281</v>
      </c>
      <c r="D11" s="9">
        <v>9.2692519351080094</v>
      </c>
      <c r="E11" s="9"/>
      <c r="F11" s="9">
        <v>17.398681459332717</v>
      </c>
    </row>
    <row r="12" spans="1:6">
      <c r="A12" s="2">
        <v>42460</v>
      </c>
      <c r="B12" s="9">
        <v>43.154566402092222</v>
      </c>
      <c r="C12" s="9">
        <v>26.252960245302091</v>
      </c>
      <c r="D12" s="9">
        <v>10.195432254078906</v>
      </c>
      <c r="E12" s="9"/>
      <c r="F12" s="9">
        <v>19.106366137692625</v>
      </c>
    </row>
    <row r="13" spans="1:6">
      <c r="A13" s="2">
        <v>42551</v>
      </c>
      <c r="B13" s="9">
        <v>47.421987690396215</v>
      </c>
      <c r="C13" s="9">
        <v>21.491104538046894</v>
      </c>
      <c r="D13" s="9">
        <v>12.056912627722808</v>
      </c>
      <c r="E13" s="9"/>
      <c r="F13" s="9">
        <v>17.620006338145718</v>
      </c>
    </row>
    <row r="14" spans="1:6">
      <c r="A14" s="2">
        <v>42643</v>
      </c>
      <c r="B14" s="9">
        <v>49.635809031535707</v>
      </c>
      <c r="C14" s="9">
        <v>18.621909371785566</v>
      </c>
      <c r="D14" s="9">
        <v>11.60298631613624</v>
      </c>
      <c r="E14" s="9"/>
      <c r="F14" s="9">
        <v>18.678333218926255</v>
      </c>
    </row>
    <row r="15" spans="1:6">
      <c r="A15" s="2">
        <v>42735</v>
      </c>
      <c r="B15" s="9">
        <v>57.88739292561084</v>
      </c>
      <c r="C15" s="9">
        <v>9.886750354248889</v>
      </c>
      <c r="D15" s="9">
        <v>9.1593272370526879</v>
      </c>
      <c r="E15" s="9"/>
      <c r="F15" s="9">
        <v>21.026259128292459</v>
      </c>
    </row>
    <row r="16" spans="1:6">
      <c r="A16" s="2">
        <v>42825</v>
      </c>
      <c r="B16" s="9">
        <v>54.344681001868167</v>
      </c>
      <c r="C16" s="9">
        <v>16.633062367429623</v>
      </c>
      <c r="D16" s="9">
        <v>8.1945192994395324</v>
      </c>
      <c r="E16" s="9"/>
      <c r="F16" s="9">
        <v>18.447426395615953</v>
      </c>
    </row>
    <row r="17" spans="1:6">
      <c r="A17" s="2">
        <v>42916</v>
      </c>
      <c r="B17" s="9">
        <v>45.634168558708581</v>
      </c>
      <c r="C17" s="9">
        <v>31.027870999852304</v>
      </c>
      <c r="D17" s="9">
        <v>6.8142137004214991</v>
      </c>
      <c r="E17" s="9"/>
      <c r="F17" s="9">
        <v>14.883219535634012</v>
      </c>
    </row>
    <row r="18" spans="1:6">
      <c r="A18" s="2">
        <v>43008</v>
      </c>
      <c r="B18" s="9">
        <v>49.462824110633527</v>
      </c>
      <c r="C18" s="9">
        <v>31.369236846457255</v>
      </c>
      <c r="D18" s="9">
        <v>4.9665872928912602</v>
      </c>
      <c r="E18" s="9"/>
      <c r="F18" s="9">
        <v>13.145523879920701</v>
      </c>
    </row>
    <row r="19" spans="1:6">
      <c r="A19" s="2">
        <v>43100</v>
      </c>
      <c r="B19" s="9">
        <v>47.678661577883034</v>
      </c>
      <c r="C19" s="9">
        <v>36.868499486174677</v>
      </c>
      <c r="D19" s="9">
        <v>6.4931567167162072</v>
      </c>
      <c r="E19" s="9"/>
      <c r="F19" s="9">
        <v>6.9813455112508986</v>
      </c>
    </row>
    <row r="20" spans="1:6">
      <c r="A20" s="2">
        <v>43190</v>
      </c>
      <c r="B20" s="9">
        <v>46.496478717529733</v>
      </c>
      <c r="C20" s="9">
        <v>37.056259768716124</v>
      </c>
      <c r="D20" s="9">
        <v>6.0272611624313823</v>
      </c>
      <c r="E20" s="9">
        <v>4.4249151021003987</v>
      </c>
      <c r="F20" s="9">
        <v>2.8640829910156991</v>
      </c>
    </row>
    <row r="21" spans="1:6">
      <c r="A21" s="2">
        <v>43281</v>
      </c>
      <c r="B21" s="9">
        <v>46.789717718620253</v>
      </c>
      <c r="C21" s="9">
        <v>31.900796598272823</v>
      </c>
      <c r="D21" s="9">
        <v>4.9054323876731649</v>
      </c>
      <c r="E21" s="9">
        <v>6.8804009706920146</v>
      </c>
      <c r="F21" s="9">
        <v>7.4940434701023486</v>
      </c>
    </row>
    <row r="22" spans="1:6">
      <c r="A22" s="2">
        <v>43373</v>
      </c>
      <c r="B22" s="9">
        <v>45.870430595926607</v>
      </c>
      <c r="C22" s="9">
        <v>31.913565202867684</v>
      </c>
      <c r="D22" s="9">
        <v>4.3183545067467577</v>
      </c>
      <c r="E22" s="9">
        <v>4.3614943354013933</v>
      </c>
      <c r="F22" s="9">
        <v>13.074662572868965</v>
      </c>
    </row>
    <row r="23" spans="1:6">
      <c r="A23" s="2">
        <v>43465</v>
      </c>
      <c r="B23" s="9">
        <v>42.755096247476551</v>
      </c>
      <c r="C23" s="9">
        <v>35.366332001772612</v>
      </c>
      <c r="D23" s="9">
        <v>4.2496109420617021</v>
      </c>
      <c r="E23" s="9">
        <v>4.7290044609757516</v>
      </c>
      <c r="F23" s="9">
        <v>12.083298370556212</v>
      </c>
    </row>
    <row r="24" spans="1:6">
      <c r="A24" s="2">
        <v>43555</v>
      </c>
      <c r="B24" s="9">
        <v>41.621012833333403</v>
      </c>
      <c r="C24" s="9">
        <v>32.633348410361506</v>
      </c>
      <c r="D24" s="9">
        <v>3.0915132009110504</v>
      </c>
      <c r="E24" s="9">
        <v>8.3296726397915251</v>
      </c>
      <c r="F24" s="9">
        <v>12.767339699191146</v>
      </c>
    </row>
    <row r="25" spans="1:6">
      <c r="A25" s="2">
        <v>43646</v>
      </c>
      <c r="B25" s="9">
        <v>50.871935970461202</v>
      </c>
      <c r="C25" s="9">
        <v>25.226091243069583</v>
      </c>
      <c r="D25" s="9">
        <v>3.0198560471421261</v>
      </c>
      <c r="E25" s="9">
        <v>6.9119466888205032</v>
      </c>
      <c r="F25" s="9">
        <v>12.379402709406385</v>
      </c>
    </row>
    <row r="26" spans="1:6">
      <c r="A26" s="2">
        <v>43738</v>
      </c>
      <c r="B26" s="9">
        <v>41.432078714843179</v>
      </c>
      <c r="C26" s="9">
        <v>30.666862599077383</v>
      </c>
      <c r="D26" s="9">
        <v>6.0244816517026472</v>
      </c>
      <c r="E26" s="9">
        <v>5.216147662688301</v>
      </c>
      <c r="F26" s="9">
        <v>14.843233532753905</v>
      </c>
    </row>
    <row r="27" spans="1:6">
      <c r="A27" s="2">
        <v>43830</v>
      </c>
      <c r="B27" s="9">
        <v>29.687490184526155</v>
      </c>
      <c r="C27" s="9">
        <v>31.868662103950658</v>
      </c>
      <c r="D27" s="9">
        <v>11.805259520449429</v>
      </c>
      <c r="E27" s="9">
        <v>5.6738482084316715</v>
      </c>
      <c r="F27" s="9">
        <v>19.122711201096802</v>
      </c>
    </row>
    <row r="28" spans="1:6">
      <c r="A28" s="2">
        <v>43921</v>
      </c>
      <c r="B28" s="9">
        <v>38.528833406765742</v>
      </c>
      <c r="C28" s="9">
        <v>21.590255360179757</v>
      </c>
      <c r="D28" s="9">
        <v>16.113728441061742</v>
      </c>
      <c r="E28" s="9">
        <v>4.0670443541491235</v>
      </c>
      <c r="F28" s="9">
        <v>16.463249978887298</v>
      </c>
    </row>
    <row r="29" spans="1:6">
      <c r="A29" s="2">
        <v>44012</v>
      </c>
      <c r="B29" s="9">
        <v>40.15952991104956</v>
      </c>
      <c r="C29" s="9">
        <v>19.208905725832722</v>
      </c>
      <c r="D29" s="9">
        <v>14.064793412800949</v>
      </c>
      <c r="E29" s="9">
        <v>4.2643121852099499</v>
      </c>
      <c r="F29" s="9">
        <v>18.775199265396978</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D30"/>
  <sheetViews>
    <sheetView workbookViewId="0">
      <selection activeCell="J19" sqref="J19"/>
    </sheetView>
  </sheetViews>
  <sheetFormatPr defaultRowHeight="15"/>
  <cols>
    <col min="1" max="1" width="10" customWidth="1"/>
    <col min="2" max="4" width="20.5703125" customWidth="1"/>
    <col min="8" max="8" width="12" bestFit="1" customWidth="1"/>
  </cols>
  <sheetData>
    <row r="1" spans="1:4">
      <c r="A1" s="1" t="s">
        <v>0</v>
      </c>
      <c r="B1" t="s">
        <v>82</v>
      </c>
    </row>
    <row r="2" spans="1:4">
      <c r="A2" s="1" t="s">
        <v>1</v>
      </c>
      <c r="B2" t="s">
        <v>16</v>
      </c>
    </row>
    <row r="3" spans="1:4">
      <c r="A3" s="1" t="s">
        <v>2</v>
      </c>
      <c r="B3" t="s">
        <v>9</v>
      </c>
    </row>
    <row r="4" spans="1:4">
      <c r="A4" s="1" t="s">
        <v>3</v>
      </c>
      <c r="B4" t="s">
        <v>23</v>
      </c>
    </row>
    <row r="7" spans="1:4">
      <c r="A7" s="3"/>
      <c r="B7" s="5" t="s">
        <v>14</v>
      </c>
      <c r="C7" s="5" t="s">
        <v>24</v>
      </c>
      <c r="D7" s="5" t="s">
        <v>25</v>
      </c>
    </row>
    <row r="8" spans="1:4">
      <c r="A8" s="2">
        <v>42094</v>
      </c>
      <c r="B8" s="12">
        <f>C8+D8</f>
        <v>6624.4529502780006</v>
      </c>
      <c r="C8" s="12">
        <v>3799.3565619999999</v>
      </c>
      <c r="D8" s="12">
        <v>2825.0963882780002</v>
      </c>
    </row>
    <row r="9" spans="1:4">
      <c r="A9" s="2">
        <v>42185</v>
      </c>
      <c r="B9" s="12">
        <f t="shared" ref="B9:B29" si="0">C9+D9</f>
        <v>6445.2935142139995</v>
      </c>
      <c r="C9" s="12">
        <v>3767.5786309999999</v>
      </c>
      <c r="D9" s="12">
        <v>2677.7148832140001</v>
      </c>
    </row>
    <row r="10" spans="1:4">
      <c r="A10" s="2">
        <v>42277</v>
      </c>
      <c r="B10" s="12">
        <f t="shared" si="0"/>
        <v>6652.5052238669996</v>
      </c>
      <c r="C10" s="12">
        <v>3938.5416712000001</v>
      </c>
      <c r="D10" s="12">
        <v>2713.9635526669999</v>
      </c>
    </row>
    <row r="11" spans="1:4">
      <c r="A11" s="2">
        <v>42369</v>
      </c>
      <c r="B11" s="12">
        <f t="shared" si="0"/>
        <v>6344.8045711209998</v>
      </c>
      <c r="C11" s="12">
        <v>3693.80450991</v>
      </c>
      <c r="D11" s="12">
        <v>2651.0000612109998</v>
      </c>
    </row>
    <row r="12" spans="1:4">
      <c r="A12" s="2">
        <v>42460</v>
      </c>
      <c r="B12" s="12">
        <f t="shared" si="0"/>
        <v>6673.3954570919996</v>
      </c>
      <c r="C12" s="12">
        <v>3822.93277137</v>
      </c>
      <c r="D12" s="12">
        <v>2850.4626857220001</v>
      </c>
    </row>
    <row r="13" spans="1:4">
      <c r="A13" s="2">
        <v>42551</v>
      </c>
      <c r="B13" s="12">
        <f t="shared" si="0"/>
        <v>6939.7991628270001</v>
      </c>
      <c r="C13" s="12">
        <v>3947.3706797700002</v>
      </c>
      <c r="D13" s="12">
        <v>2992.428483057</v>
      </c>
    </row>
    <row r="14" spans="1:4">
      <c r="A14" s="2">
        <v>42643</v>
      </c>
      <c r="B14" s="12">
        <f t="shared" si="0"/>
        <v>6962.6365414089996</v>
      </c>
      <c r="C14" s="12">
        <v>3964.40023569</v>
      </c>
      <c r="D14" s="12">
        <v>2998.236305719</v>
      </c>
    </row>
    <row r="15" spans="1:4">
      <c r="A15" s="2">
        <v>42735</v>
      </c>
      <c r="B15" s="12">
        <f t="shared" si="0"/>
        <v>6752.4770430509998</v>
      </c>
      <c r="C15" s="12">
        <v>3845.2224599900001</v>
      </c>
      <c r="D15" s="12">
        <v>2907.2545830610002</v>
      </c>
    </row>
    <row r="16" spans="1:4">
      <c r="A16" s="2">
        <v>42825</v>
      </c>
      <c r="B16" s="12">
        <f t="shared" si="0"/>
        <v>7217.6632122319998</v>
      </c>
      <c r="C16" s="12">
        <v>4108.2958836999996</v>
      </c>
      <c r="D16" s="12">
        <v>3109.3673285320001</v>
      </c>
    </row>
    <row r="17" spans="1:4">
      <c r="A17" s="2">
        <v>42916</v>
      </c>
      <c r="B17" s="12">
        <f t="shared" si="0"/>
        <v>7149.9924923100007</v>
      </c>
      <c r="C17" s="12">
        <v>3931.88549951</v>
      </c>
      <c r="D17" s="12">
        <v>3218.1069928000002</v>
      </c>
    </row>
    <row r="18" spans="1:4">
      <c r="A18" s="2">
        <v>43008</v>
      </c>
      <c r="B18" s="12">
        <f t="shared" si="0"/>
        <v>7280.2358264680006</v>
      </c>
      <c r="C18" s="12">
        <v>3999.53704272</v>
      </c>
      <c r="D18" s="12">
        <v>3280.6987837480001</v>
      </c>
    </row>
    <row r="19" spans="1:4">
      <c r="A19" s="2">
        <v>43100</v>
      </c>
      <c r="B19" s="12">
        <f t="shared" si="0"/>
        <v>7058.2830476879999</v>
      </c>
      <c r="C19" s="12">
        <v>3854.7263612299998</v>
      </c>
      <c r="D19" s="12">
        <v>3203.5566864580001</v>
      </c>
    </row>
    <row r="20" spans="1:4">
      <c r="A20" s="2">
        <v>43190</v>
      </c>
      <c r="B20" s="12">
        <f t="shared" si="0"/>
        <v>7472.8138703079994</v>
      </c>
      <c r="C20" s="12">
        <v>4110.6600644399996</v>
      </c>
      <c r="D20" s="12">
        <v>3362.1538058679998</v>
      </c>
    </row>
    <row r="21" spans="1:4">
      <c r="A21" s="2">
        <v>43281</v>
      </c>
      <c r="B21" s="12">
        <f t="shared" si="0"/>
        <v>7862.4110740100004</v>
      </c>
      <c r="C21" s="12">
        <v>4399.4840963500001</v>
      </c>
      <c r="D21" s="12">
        <v>3462.9269776599999</v>
      </c>
    </row>
    <row r="22" spans="1:4">
      <c r="A22" s="2">
        <v>43373</v>
      </c>
      <c r="B22" s="12">
        <f t="shared" si="0"/>
        <v>7734.5371551130002</v>
      </c>
      <c r="C22" s="12">
        <v>4270.79563263</v>
      </c>
      <c r="D22" s="12">
        <v>3463.7415224830002</v>
      </c>
    </row>
    <row r="23" spans="1:4">
      <c r="A23" s="2">
        <v>43465</v>
      </c>
      <c r="B23" s="12">
        <f t="shared" si="0"/>
        <v>7604.8455419299989</v>
      </c>
      <c r="C23" s="12">
        <v>4133.3223842999996</v>
      </c>
      <c r="D23" s="12">
        <v>3471.5231576299998</v>
      </c>
    </row>
    <row r="24" spans="1:4">
      <c r="A24" s="2">
        <v>43555</v>
      </c>
      <c r="B24" s="12">
        <f t="shared" si="0"/>
        <v>8026.4816446780005</v>
      </c>
      <c r="C24" s="12">
        <v>4448.4451563800003</v>
      </c>
      <c r="D24" s="12">
        <v>3578.0364882980002</v>
      </c>
    </row>
    <row r="25" spans="1:4">
      <c r="A25" s="2">
        <v>43646</v>
      </c>
      <c r="B25" s="12">
        <f t="shared" si="0"/>
        <v>8120.4437983380003</v>
      </c>
      <c r="C25" s="12">
        <v>4466.1019323500004</v>
      </c>
      <c r="D25" s="12">
        <v>3654.3418659879999</v>
      </c>
    </row>
    <row r="26" spans="1:4">
      <c r="A26" s="2">
        <v>43738</v>
      </c>
      <c r="B26" s="12">
        <f t="shared" si="0"/>
        <v>8347.4828333019996</v>
      </c>
      <c r="C26" s="12">
        <v>4595.7926602699999</v>
      </c>
      <c r="D26" s="12">
        <v>3751.6901730320001</v>
      </c>
    </row>
    <row r="27" spans="1:4">
      <c r="A27" s="2">
        <v>43830</v>
      </c>
      <c r="B27" s="12">
        <f t="shared" si="0"/>
        <v>8172.6477065539993</v>
      </c>
      <c r="C27" s="12">
        <v>4467.1029817299996</v>
      </c>
      <c r="D27" s="12">
        <v>3705.5447248239998</v>
      </c>
    </row>
    <row r="28" spans="1:4">
      <c r="A28" s="2">
        <v>43921</v>
      </c>
      <c r="B28" s="12">
        <f t="shared" si="0"/>
        <v>8780.2264941729991</v>
      </c>
      <c r="C28" s="12">
        <f>4777738968500/1000000000</f>
        <v>4777.7389684999998</v>
      </c>
      <c r="D28" s="12">
        <f>4002487525673/1000000000</f>
        <v>4002.4875256730002</v>
      </c>
    </row>
    <row r="29" spans="1:4">
      <c r="A29" s="2">
        <v>44012</v>
      </c>
      <c r="B29" s="12">
        <f t="shared" si="0"/>
        <v>8722.4839510230013</v>
      </c>
      <c r="C29" s="12">
        <f>4540931285470/1000000000</f>
        <v>4540.9312854700001</v>
      </c>
      <c r="D29" s="12">
        <f>4181552665553/1000000000</f>
        <v>4181.5526655530002</v>
      </c>
    </row>
    <row r="30" spans="1:4">
      <c r="A30" s="2"/>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U66"/>
  <sheetViews>
    <sheetView zoomScale="80" zoomScaleNormal="80" workbookViewId="0">
      <selection activeCell="D32" sqref="D32"/>
    </sheetView>
  </sheetViews>
  <sheetFormatPr defaultRowHeight="15"/>
  <cols>
    <col min="1" max="1" width="12.85546875" customWidth="1"/>
    <col min="2" max="4" width="20.5703125" customWidth="1"/>
  </cols>
  <sheetData>
    <row r="1" spans="1:5">
      <c r="A1" s="1" t="s">
        <v>0</v>
      </c>
      <c r="B1" t="s">
        <v>81</v>
      </c>
    </row>
    <row r="2" spans="1:5">
      <c r="A2" s="1" t="s">
        <v>1</v>
      </c>
      <c r="B2" t="s">
        <v>16</v>
      </c>
    </row>
    <row r="3" spans="1:5">
      <c r="A3" s="1" t="s">
        <v>2</v>
      </c>
      <c r="B3" t="s">
        <v>22</v>
      </c>
    </row>
    <row r="4" spans="1:5">
      <c r="A4" s="1" t="s">
        <v>3</v>
      </c>
      <c r="B4" t="s">
        <v>26</v>
      </c>
    </row>
    <row r="7" spans="1:5" ht="13.5" customHeight="1">
      <c r="A7" s="3"/>
      <c r="B7" s="5" t="s">
        <v>52</v>
      </c>
      <c r="C7" s="5" t="s">
        <v>51</v>
      </c>
      <c r="D7" s="22"/>
      <c r="E7" s="22"/>
    </row>
    <row r="8" spans="1:5">
      <c r="A8" s="2">
        <v>42094</v>
      </c>
      <c r="B8" s="12">
        <v>2596.9101477600002</v>
      </c>
      <c r="C8" s="12">
        <v>1564.175</v>
      </c>
      <c r="D8" s="23"/>
      <c r="E8" s="23"/>
    </row>
    <row r="9" spans="1:5">
      <c r="A9" s="2">
        <v>42185</v>
      </c>
      <c r="B9" s="12">
        <v>2674.8734601073352</v>
      </c>
      <c r="C9" s="12">
        <v>1546.886</v>
      </c>
      <c r="D9" s="24"/>
      <c r="E9" s="24"/>
    </row>
    <row r="10" spans="1:5">
      <c r="A10" s="2">
        <v>42277</v>
      </c>
      <c r="B10" s="12">
        <v>2795.5439915949032</v>
      </c>
      <c r="C10" s="12">
        <v>1579.9469999999999</v>
      </c>
      <c r="D10" s="24"/>
      <c r="E10" s="24"/>
    </row>
    <row r="11" spans="1:5">
      <c r="A11" s="2">
        <v>42369</v>
      </c>
      <c r="B11" s="12">
        <v>2787.4796943544179</v>
      </c>
      <c r="C11" s="12">
        <v>1593.1110000000001</v>
      </c>
      <c r="D11" s="23"/>
      <c r="E11" s="23"/>
    </row>
    <row r="12" spans="1:5">
      <c r="A12" s="2">
        <v>42460</v>
      </c>
      <c r="B12" s="12">
        <v>2833.4203637787605</v>
      </c>
      <c r="C12" s="12">
        <v>1689.5050000000001</v>
      </c>
      <c r="D12" s="23"/>
      <c r="E12" s="23"/>
    </row>
    <row r="13" spans="1:5">
      <c r="A13" s="2">
        <v>42551</v>
      </c>
      <c r="B13" s="12">
        <v>2902.8939547680161</v>
      </c>
      <c r="C13" s="12">
        <v>1642.337</v>
      </c>
      <c r="D13" s="23"/>
      <c r="E13" s="23"/>
    </row>
    <row r="14" spans="1:5">
      <c r="A14" s="2">
        <v>42643</v>
      </c>
      <c r="B14" s="12">
        <v>2946.032124975347</v>
      </c>
      <c r="C14" s="12">
        <v>1644.2750000000001</v>
      </c>
      <c r="D14" s="23"/>
      <c r="E14" s="23"/>
    </row>
    <row r="15" spans="1:5">
      <c r="A15" s="2">
        <v>42735</v>
      </c>
      <c r="B15" s="12">
        <v>2996.0298753353109</v>
      </c>
      <c r="C15" s="12">
        <v>1665.2860000000001</v>
      </c>
      <c r="D15" s="23"/>
      <c r="E15" s="23"/>
    </row>
    <row r="16" spans="1:5">
      <c r="A16" s="2">
        <v>42825</v>
      </c>
      <c r="B16" s="12">
        <v>3041.7853190588203</v>
      </c>
      <c r="C16" s="12">
        <v>1703.72</v>
      </c>
      <c r="D16" s="23"/>
      <c r="E16" s="23"/>
    </row>
    <row r="17" spans="1:5">
      <c r="A17" s="2">
        <v>42916</v>
      </c>
      <c r="B17" s="12">
        <v>3101.2490449007814</v>
      </c>
      <c r="C17" s="12">
        <v>1639.5909999999999</v>
      </c>
      <c r="D17" s="23"/>
      <c r="E17" s="23"/>
    </row>
    <row r="18" spans="1:5">
      <c r="A18" s="2">
        <v>43008</v>
      </c>
      <c r="B18" s="12">
        <v>3152.446561112627</v>
      </c>
      <c r="C18" s="12">
        <v>1704.98</v>
      </c>
      <c r="D18" s="23"/>
      <c r="E18" s="23"/>
    </row>
    <row r="19" spans="1:5">
      <c r="A19" s="2">
        <v>43100</v>
      </c>
      <c r="B19" s="12">
        <v>3207.1598609187549</v>
      </c>
      <c r="C19" s="12">
        <v>1706.8219999999999</v>
      </c>
      <c r="D19" s="23"/>
      <c r="E19" s="23"/>
    </row>
    <row r="20" spans="1:5">
      <c r="A20" s="2">
        <v>43190</v>
      </c>
      <c r="B20" s="12">
        <v>3251.12230721692</v>
      </c>
      <c r="C20" s="12">
        <v>1741.5730000000001</v>
      </c>
      <c r="D20" s="23"/>
      <c r="E20" s="23"/>
    </row>
    <row r="21" spans="1:5">
      <c r="A21" s="2">
        <v>43281</v>
      </c>
      <c r="B21" s="12">
        <v>3296.1162717149296</v>
      </c>
      <c r="C21" s="12">
        <v>1769.778</v>
      </c>
      <c r="D21" s="23"/>
      <c r="E21" s="23"/>
    </row>
    <row r="22" spans="1:5">
      <c r="A22" s="2">
        <v>43373</v>
      </c>
      <c r="B22" s="12">
        <v>3330.4924314825498</v>
      </c>
      <c r="C22" s="12">
        <v>1755.4010000000001</v>
      </c>
      <c r="D22" s="23"/>
      <c r="E22" s="23"/>
    </row>
    <row r="23" spans="1:5">
      <c r="A23" s="2">
        <v>43465</v>
      </c>
      <c r="B23" s="12">
        <v>3377.1478134416698</v>
      </c>
      <c r="C23" s="12">
        <v>1734.3140000000001</v>
      </c>
      <c r="D23" s="23"/>
      <c r="E23" s="23"/>
    </row>
    <row r="24" spans="1:5">
      <c r="A24" s="2">
        <v>43555</v>
      </c>
      <c r="B24" s="12">
        <v>3410.3031321899302</v>
      </c>
      <c r="C24" s="12">
        <v>1833.0060000000001</v>
      </c>
      <c r="D24" s="23"/>
      <c r="E24" s="23"/>
    </row>
    <row r="25" spans="1:5">
      <c r="A25" s="2">
        <v>43646</v>
      </c>
      <c r="B25" s="12">
        <v>3473.81606671798</v>
      </c>
      <c r="C25" s="12">
        <v>1865.229</v>
      </c>
      <c r="D25" s="23"/>
      <c r="E25" s="23"/>
    </row>
    <row r="26" spans="1:5">
      <c r="A26" s="2">
        <v>43738</v>
      </c>
      <c r="B26" s="12">
        <v>3495.9099577153283</v>
      </c>
      <c r="C26" s="12">
        <v>1876.2190000000001</v>
      </c>
      <c r="D26" s="23"/>
      <c r="E26" s="23"/>
    </row>
    <row r="27" spans="1:5">
      <c r="A27" s="2">
        <v>43830</v>
      </c>
      <c r="B27" s="12">
        <v>3546.4612790883302</v>
      </c>
      <c r="C27" s="12">
        <v>1912.7539999999999</v>
      </c>
      <c r="D27" s="23"/>
      <c r="E27" s="23"/>
    </row>
    <row r="28" spans="1:5">
      <c r="A28" s="2">
        <v>43921</v>
      </c>
      <c r="B28" s="12">
        <v>3594.26369034032</v>
      </c>
      <c r="C28" s="12">
        <v>2009.5</v>
      </c>
      <c r="D28" s="25"/>
      <c r="E28" s="25"/>
    </row>
    <row r="29" spans="1:5">
      <c r="A29" s="2">
        <v>44012</v>
      </c>
      <c r="B29" s="12">
        <v>3650.05177440647</v>
      </c>
      <c r="C29" s="12">
        <v>1961</v>
      </c>
    </row>
    <row r="31" spans="1:5">
      <c r="A31" s="2"/>
    </row>
    <row r="32" spans="1:5">
      <c r="A32" s="2"/>
      <c r="B32" s="12"/>
      <c r="C32" s="12"/>
      <c r="D32" s="12"/>
    </row>
    <row r="33" spans="1:21">
      <c r="A33" s="2"/>
      <c r="B33" s="12"/>
      <c r="C33" s="12"/>
      <c r="D33" s="12"/>
    </row>
    <row r="34" spans="1:21">
      <c r="A34" s="2"/>
      <c r="B34" s="12"/>
      <c r="C34" s="12"/>
      <c r="D34" s="12"/>
    </row>
    <row r="35" spans="1:21">
      <c r="A35" s="2"/>
      <c r="B35" s="12"/>
      <c r="C35" s="12"/>
      <c r="D35" s="12"/>
    </row>
    <row r="36" spans="1:21">
      <c r="A36" s="2"/>
      <c r="B36" s="12"/>
      <c r="C36" s="12"/>
      <c r="D36" s="12"/>
    </row>
    <row r="37" spans="1:21">
      <c r="A37" s="2"/>
      <c r="B37" s="12"/>
      <c r="C37" s="12"/>
      <c r="D37" s="12"/>
    </row>
    <row r="38" spans="1:21">
      <c r="A38" s="2"/>
      <c r="B38" s="12"/>
      <c r="C38" s="12"/>
      <c r="D38" s="12"/>
    </row>
    <row r="39" spans="1:21">
      <c r="A39" s="2"/>
      <c r="B39" s="12"/>
      <c r="C39" s="12"/>
      <c r="D39" s="12"/>
    </row>
    <row r="40" spans="1:21">
      <c r="A40" s="2"/>
      <c r="B40" s="12"/>
      <c r="C40" s="12"/>
      <c r="D40" s="12"/>
    </row>
    <row r="41" spans="1:21">
      <c r="A41" s="2"/>
      <c r="B41" s="12"/>
      <c r="C41" s="12"/>
      <c r="D41" s="12"/>
    </row>
    <row r="42" spans="1:21">
      <c r="A42" s="2"/>
      <c r="B42" s="12"/>
      <c r="C42" s="12"/>
      <c r="D42" s="12"/>
    </row>
    <row r="43" spans="1:21">
      <c r="A43" s="2"/>
      <c r="B43" s="12"/>
      <c r="C43" s="12"/>
      <c r="D43" s="12"/>
    </row>
    <row r="44" spans="1:21">
      <c r="A44" s="2"/>
      <c r="B44" s="12"/>
      <c r="C44" s="12"/>
      <c r="D44" s="12"/>
    </row>
    <row r="45" spans="1:21">
      <c r="A45" s="2"/>
      <c r="B45" s="12"/>
      <c r="C45" s="12"/>
      <c r="D45" s="12"/>
    </row>
    <row r="46" spans="1:21">
      <c r="A46" s="2"/>
      <c r="B46" s="12"/>
      <c r="C46" s="12"/>
      <c r="D46" s="12"/>
      <c r="E46" s="12"/>
      <c r="F46" s="12"/>
      <c r="G46" s="12"/>
      <c r="H46" s="12"/>
      <c r="I46" s="12"/>
    </row>
    <row r="47" spans="1:21">
      <c r="A47" s="2"/>
      <c r="B47" s="12"/>
      <c r="C47" s="12"/>
      <c r="D47" s="12"/>
      <c r="E47" s="12"/>
      <c r="F47" s="12"/>
      <c r="G47" s="12"/>
      <c r="H47" s="12"/>
      <c r="I47" s="12"/>
    </row>
    <row r="48" spans="1:21">
      <c r="A48" s="2"/>
      <c r="B48" s="12"/>
      <c r="C48" s="12"/>
      <c r="D48" s="12"/>
      <c r="E48" s="12"/>
      <c r="F48" s="12"/>
      <c r="G48" s="12"/>
      <c r="H48" s="12"/>
      <c r="I48" s="12"/>
      <c r="J48" s="12"/>
      <c r="K48" s="12"/>
      <c r="L48" s="12"/>
      <c r="M48" s="12"/>
      <c r="N48" s="12"/>
      <c r="O48" s="12"/>
      <c r="P48" s="12"/>
      <c r="Q48" s="12"/>
      <c r="R48" s="12"/>
      <c r="S48" s="12"/>
      <c r="T48" s="12"/>
      <c r="U48" s="12"/>
    </row>
    <row r="49" spans="1:4">
      <c r="A49" s="2"/>
      <c r="C49" s="12"/>
      <c r="D49" s="12"/>
    </row>
    <row r="50" spans="1:4">
      <c r="A50" s="2"/>
      <c r="C50" s="12"/>
      <c r="D50" s="12"/>
    </row>
    <row r="51" spans="1:4">
      <c r="A51" s="2"/>
      <c r="C51" s="12"/>
      <c r="D51" s="12"/>
    </row>
    <row r="52" spans="1:4">
      <c r="C52" s="12"/>
      <c r="D52" s="12"/>
    </row>
    <row r="53" spans="1:4">
      <c r="C53" s="12"/>
      <c r="D53" s="12"/>
    </row>
    <row r="54" spans="1:4">
      <c r="C54" s="12"/>
      <c r="D54" s="12"/>
    </row>
    <row r="55" spans="1:4">
      <c r="C55" s="12"/>
      <c r="D55" s="12"/>
    </row>
    <row r="56" spans="1:4">
      <c r="C56" s="12"/>
      <c r="D56" s="12"/>
    </row>
    <row r="57" spans="1:4">
      <c r="C57" s="12"/>
      <c r="D57" s="12"/>
    </row>
    <row r="58" spans="1:4">
      <c r="C58" s="12"/>
      <c r="D58" s="12"/>
    </row>
    <row r="59" spans="1:4">
      <c r="C59" s="12"/>
      <c r="D59" s="12"/>
    </row>
    <row r="60" spans="1:4">
      <c r="C60" s="12"/>
      <c r="D60" s="12"/>
    </row>
    <row r="61" spans="1:4">
      <c r="C61" s="12"/>
      <c r="D61" s="12"/>
    </row>
    <row r="62" spans="1:4">
      <c r="C62" s="12"/>
      <c r="D62" s="12"/>
    </row>
    <row r="63" spans="1:4">
      <c r="C63" s="12"/>
      <c r="D63" s="12"/>
    </row>
    <row r="64" spans="1:4">
      <c r="C64" s="12"/>
      <c r="D64" s="12"/>
    </row>
    <row r="65" spans="3:4">
      <c r="C65" s="12"/>
      <c r="D65" s="12"/>
    </row>
    <row r="66" spans="3:4">
      <c r="C66" s="12"/>
      <c r="D66" s="12"/>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AA29"/>
  <sheetViews>
    <sheetView workbookViewId="0">
      <selection activeCell="B4" sqref="B4"/>
    </sheetView>
  </sheetViews>
  <sheetFormatPr defaultRowHeight="15"/>
  <cols>
    <col min="1" max="1" width="10" customWidth="1"/>
    <col min="2" max="2" width="20.5703125" customWidth="1"/>
    <col min="3" max="3" width="10.5703125" bestFit="1" customWidth="1"/>
  </cols>
  <sheetData>
    <row r="1" spans="1:27">
      <c r="A1" s="1" t="s">
        <v>0</v>
      </c>
      <c r="B1" t="s">
        <v>80</v>
      </c>
    </row>
    <row r="2" spans="1:27">
      <c r="A2" s="1" t="s">
        <v>1</v>
      </c>
      <c r="B2" t="s">
        <v>4</v>
      </c>
    </row>
    <row r="3" spans="1:27">
      <c r="A3" s="1" t="s">
        <v>2</v>
      </c>
      <c r="B3" t="s">
        <v>9</v>
      </c>
    </row>
    <row r="4" spans="1:27">
      <c r="A4" s="1" t="s">
        <v>3</v>
      </c>
      <c r="B4" t="s">
        <v>110</v>
      </c>
    </row>
    <row r="7" spans="1:27">
      <c r="A7" s="3"/>
      <c r="B7" s="5" t="s">
        <v>35</v>
      </c>
      <c r="C7" s="5" t="s">
        <v>38</v>
      </c>
    </row>
    <row r="8" spans="1:27">
      <c r="A8" s="2">
        <v>42094</v>
      </c>
      <c r="B8" s="9">
        <v>13.489713278420618</v>
      </c>
      <c r="C8" s="9">
        <v>12.894142786082451</v>
      </c>
      <c r="E8" s="35"/>
    </row>
    <row r="9" spans="1:27">
      <c r="A9" s="2">
        <v>42185</v>
      </c>
      <c r="B9" s="9">
        <v>12.070076708867376</v>
      </c>
      <c r="C9" s="9">
        <v>12.456016794230193</v>
      </c>
      <c r="E9" s="35"/>
      <c r="G9" s="34"/>
      <c r="H9" s="34"/>
      <c r="I9" s="34"/>
      <c r="J9" s="34"/>
      <c r="K9" s="34"/>
      <c r="L9" s="34"/>
      <c r="M9" s="34"/>
      <c r="N9" s="34"/>
      <c r="O9" s="34"/>
      <c r="P9" s="34"/>
      <c r="Q9" s="34"/>
      <c r="R9" s="34"/>
      <c r="S9" s="34"/>
      <c r="T9" s="34"/>
      <c r="U9" s="34"/>
      <c r="V9" s="34"/>
      <c r="W9" s="34"/>
      <c r="X9" s="34"/>
      <c r="Y9" s="34"/>
      <c r="Z9" s="34"/>
      <c r="AA9" s="34"/>
    </row>
    <row r="10" spans="1:27">
      <c r="A10" s="2">
        <v>42277</v>
      </c>
      <c r="B10" s="9">
        <v>11.401637983604969</v>
      </c>
      <c r="C10" s="9">
        <v>12.030258741543829</v>
      </c>
      <c r="E10" s="35"/>
    </row>
    <row r="11" spans="1:27">
      <c r="A11" s="2">
        <v>42369</v>
      </c>
      <c r="B11" s="9">
        <v>11.159606995282351</v>
      </c>
      <c r="C11" s="9">
        <v>10.999213530421903</v>
      </c>
      <c r="E11" s="35"/>
    </row>
    <row r="12" spans="1:27">
      <c r="A12" s="2">
        <v>42460</v>
      </c>
      <c r="B12" s="9">
        <v>9.365532433932918</v>
      </c>
      <c r="C12" s="9">
        <v>11.20915997964536</v>
      </c>
      <c r="E12" s="35"/>
    </row>
    <row r="13" spans="1:27">
      <c r="A13" s="2">
        <v>42551</v>
      </c>
      <c r="B13" s="9">
        <v>12.909862505761199</v>
      </c>
      <c r="C13" s="9">
        <v>11.467134221478842</v>
      </c>
      <c r="E13" s="35"/>
    </row>
    <row r="14" spans="1:27">
      <c r="A14" s="2">
        <v>42643</v>
      </c>
      <c r="B14" s="9">
        <v>12.433534950938899</v>
      </c>
      <c r="C14" s="9">
        <v>11.594395897437906</v>
      </c>
      <c r="E14" s="35"/>
    </row>
    <row r="15" spans="1:27">
      <c r="A15" s="2">
        <v>42735</v>
      </c>
      <c r="B15" s="9">
        <v>11.668653699118611</v>
      </c>
      <c r="C15" s="9">
        <v>12.672710312815333</v>
      </c>
      <c r="E15" s="35"/>
    </row>
    <row r="16" spans="1:27">
      <c r="A16" s="2">
        <v>42825</v>
      </c>
      <c r="B16" s="9">
        <v>13.678790095442622</v>
      </c>
      <c r="C16" s="9">
        <v>12.598549114697979</v>
      </c>
      <c r="E16" s="35"/>
    </row>
    <row r="17" spans="1:5">
      <c r="A17" s="2">
        <v>42916</v>
      </c>
      <c r="B17" s="9">
        <v>12.613217713291785</v>
      </c>
      <c r="C17" s="9">
        <v>12.471055406906334</v>
      </c>
      <c r="E17" s="35"/>
    </row>
    <row r="18" spans="1:5">
      <c r="A18" s="2">
        <v>43008</v>
      </c>
      <c r="B18" s="9">
        <v>11.923560119772322</v>
      </c>
      <c r="C18" s="9">
        <v>12.361357968495849</v>
      </c>
      <c r="E18" s="35"/>
    </row>
    <row r="19" spans="1:5">
      <c r="A19" s="2">
        <v>43100</v>
      </c>
      <c r="B19" s="9">
        <v>11.229863945476664</v>
      </c>
      <c r="C19" s="9">
        <v>12.135230153792671</v>
      </c>
      <c r="E19" s="35"/>
    </row>
    <row r="20" spans="1:5">
      <c r="A20" s="2">
        <v>43190</v>
      </c>
      <c r="B20" s="9">
        <v>12.774278836629909</v>
      </c>
      <c r="C20" s="9">
        <v>12.505285166613621</v>
      </c>
      <c r="E20" s="35"/>
    </row>
    <row r="21" spans="1:5">
      <c r="A21" s="2">
        <v>43281</v>
      </c>
      <c r="B21" s="9">
        <v>14.093437764575587</v>
      </c>
      <c r="C21" s="9">
        <v>12.735625112576926</v>
      </c>
      <c r="E21" s="35"/>
    </row>
    <row r="22" spans="1:5">
      <c r="A22" s="2">
        <v>43373</v>
      </c>
      <c r="B22" s="9">
        <v>12.844919903625545</v>
      </c>
      <c r="C22" s="9">
        <v>12.942802635998914</v>
      </c>
      <c r="E22" s="35"/>
    </row>
    <row r="23" spans="1:5">
      <c r="A23" s="2">
        <v>43465</v>
      </c>
      <c r="B23" s="9">
        <v>12.05857403916462</v>
      </c>
      <c r="C23" s="9">
        <v>13.124969719534189</v>
      </c>
      <c r="E23" s="35"/>
    </row>
    <row r="24" spans="1:5">
      <c r="A24" s="2">
        <v>43555</v>
      </c>
      <c r="B24" s="9">
        <v>13.502947170771002</v>
      </c>
      <c r="C24" s="9">
        <v>12.721350333072486</v>
      </c>
      <c r="E24" s="35"/>
    </row>
    <row r="25" spans="1:5">
      <c r="A25" s="2">
        <v>43646</v>
      </c>
      <c r="B25" s="9">
        <v>12.478960218728776</v>
      </c>
      <c r="C25" s="9">
        <v>12.367164207000451</v>
      </c>
      <c r="E25" s="35"/>
    </row>
    <row r="26" spans="1:5">
      <c r="A26" s="2">
        <v>43738</v>
      </c>
      <c r="B26" s="9">
        <v>11.428175399337411</v>
      </c>
      <c r="C26" s="9">
        <v>12.078382264527326</v>
      </c>
      <c r="E26" s="35"/>
    </row>
    <row r="27" spans="1:5">
      <c r="A27" s="2">
        <v>43830</v>
      </c>
      <c r="B27" s="9">
        <v>10.903446269272116</v>
      </c>
      <c r="C27" s="9">
        <v>10.306361926502793</v>
      </c>
      <c r="E27" s="35"/>
    </row>
    <row r="28" spans="1:5">
      <c r="A28" s="2">
        <v>43921</v>
      </c>
      <c r="B28" s="9">
        <v>6.4148658186728689</v>
      </c>
      <c r="C28" s="9">
        <v>8.7907015682469698</v>
      </c>
      <c r="E28" s="35"/>
    </row>
    <row r="29" spans="1:5">
      <c r="A29" s="2">
        <v>44012</v>
      </c>
      <c r="B29" s="9">
        <v>6.4163187857054913</v>
      </c>
      <c r="C29" s="9">
        <v>6.4163187857054913</v>
      </c>
      <c r="E29" s="35"/>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C31"/>
  <sheetViews>
    <sheetView workbookViewId="0">
      <selection activeCell="J16" sqref="J16"/>
    </sheetView>
  </sheetViews>
  <sheetFormatPr defaultRowHeight="15"/>
  <cols>
    <col min="1" max="1" width="10" customWidth="1"/>
    <col min="2" max="2" width="20.5703125" customWidth="1"/>
    <col min="3" max="3" width="14.7109375" bestFit="1" customWidth="1"/>
  </cols>
  <sheetData>
    <row r="1" spans="1:3">
      <c r="A1" s="1" t="s">
        <v>0</v>
      </c>
      <c r="B1" t="s">
        <v>79</v>
      </c>
    </row>
    <row r="2" spans="1:3">
      <c r="A2" s="1" t="s">
        <v>1</v>
      </c>
      <c r="B2" t="s">
        <v>4</v>
      </c>
    </row>
    <row r="3" spans="1:3">
      <c r="A3" s="1" t="s">
        <v>2</v>
      </c>
      <c r="B3" t="s">
        <v>9</v>
      </c>
    </row>
    <row r="4" spans="1:3">
      <c r="A4" s="1" t="s">
        <v>3</v>
      </c>
      <c r="B4" s="34" t="s">
        <v>110</v>
      </c>
    </row>
    <row r="7" spans="1:3">
      <c r="A7" s="3"/>
      <c r="B7" s="5" t="s">
        <v>42</v>
      </c>
      <c r="C7" s="5" t="s">
        <v>41</v>
      </c>
    </row>
    <row r="8" spans="1:3">
      <c r="A8" s="2">
        <v>42094</v>
      </c>
      <c r="B8" s="9">
        <v>49.77387094259727</v>
      </c>
      <c r="C8" s="9">
        <v>50.95874828217989</v>
      </c>
    </row>
    <row r="9" spans="1:3">
      <c r="A9" s="2">
        <v>42185</v>
      </c>
      <c r="B9" s="9">
        <v>51.44361800911522</v>
      </c>
      <c r="C9" s="9">
        <v>50.198525137506898</v>
      </c>
    </row>
    <row r="10" spans="1:3">
      <c r="A10" s="2">
        <v>42277</v>
      </c>
      <c r="B10" s="9">
        <v>51.477832234782817</v>
      </c>
      <c r="C10" s="9">
        <v>50.598941425503696</v>
      </c>
    </row>
    <row r="11" spans="1:3">
      <c r="A11" s="2">
        <v>42369</v>
      </c>
      <c r="B11" s="9">
        <v>51.753814832861508</v>
      </c>
      <c r="C11" s="9">
        <v>51.112284004839204</v>
      </c>
    </row>
    <row r="12" spans="1:3">
      <c r="A12" s="2">
        <v>42460</v>
      </c>
      <c r="B12" s="9">
        <v>55.848996773916404</v>
      </c>
      <c r="C12" s="9">
        <v>52.631065462668992</v>
      </c>
    </row>
    <row r="13" spans="1:3">
      <c r="A13" s="2">
        <v>42551</v>
      </c>
      <c r="B13" s="9">
        <v>51.800023652915385</v>
      </c>
      <c r="C13" s="9">
        <v>52.720166873619036</v>
      </c>
    </row>
    <row r="14" spans="1:3">
      <c r="A14" s="2">
        <v>42643</v>
      </c>
      <c r="B14" s="9">
        <v>51.071300303200331</v>
      </c>
      <c r="C14" s="9">
        <v>52.618533890723405</v>
      </c>
    </row>
    <row r="15" spans="1:3">
      <c r="A15" s="2">
        <v>42735</v>
      </c>
      <c r="B15" s="9">
        <v>51.336192079008455</v>
      </c>
      <c r="C15" s="9">
        <v>52.514128202260146</v>
      </c>
    </row>
    <row r="16" spans="1:3">
      <c r="A16" s="2">
        <v>42825</v>
      </c>
      <c r="B16" s="9">
        <v>49.861247020171234</v>
      </c>
      <c r="C16" s="9">
        <v>51.017190763823848</v>
      </c>
    </row>
    <row r="17" spans="1:3">
      <c r="A17" s="2">
        <v>42916</v>
      </c>
      <c r="B17" s="9">
        <v>50.408583714501873</v>
      </c>
      <c r="C17" s="9">
        <v>50.669330779220466</v>
      </c>
    </row>
    <row r="18" spans="1:3">
      <c r="A18" s="2">
        <v>43008</v>
      </c>
      <c r="B18" s="9">
        <v>50.003442743375125</v>
      </c>
      <c r="C18" s="9">
        <v>50.402366389264174</v>
      </c>
    </row>
    <row r="19" spans="1:3">
      <c r="A19" s="2">
        <v>43100</v>
      </c>
      <c r="B19" s="9">
        <v>50.902745633028779</v>
      </c>
      <c r="C19" s="9">
        <v>50.294004777769253</v>
      </c>
    </row>
    <row r="20" spans="1:3">
      <c r="A20" s="2">
        <v>43190</v>
      </c>
      <c r="B20" s="9">
        <v>50.510686057114754</v>
      </c>
      <c r="C20" s="9">
        <v>50.456364537005129</v>
      </c>
    </row>
    <row r="21" spans="1:3">
      <c r="A21" s="2">
        <v>43281</v>
      </c>
      <c r="B21" s="9">
        <v>49.216549871731729</v>
      </c>
      <c r="C21" s="9">
        <v>50.158356076312593</v>
      </c>
    </row>
    <row r="22" spans="1:3">
      <c r="A22" s="2">
        <v>43373</v>
      </c>
      <c r="B22" s="9">
        <v>49.811538859617571</v>
      </c>
      <c r="C22" s="9">
        <v>50.110380105373196</v>
      </c>
    </row>
    <row r="23" spans="1:3">
      <c r="A23" s="2">
        <v>43465</v>
      </c>
      <c r="B23" s="9">
        <v>51.24918617027879</v>
      </c>
      <c r="C23" s="9">
        <v>50.196990239685711</v>
      </c>
    </row>
    <row r="24" spans="1:3">
      <c r="A24" s="2">
        <v>43555</v>
      </c>
      <c r="B24" s="9">
        <v>47.040456145932851</v>
      </c>
      <c r="C24" s="9">
        <v>49.329432761890232</v>
      </c>
    </row>
    <row r="25" spans="1:3">
      <c r="A25" s="2">
        <v>43646</v>
      </c>
      <c r="B25" s="9">
        <v>48.80227470710566</v>
      </c>
      <c r="C25" s="9">
        <v>49.22586397073372</v>
      </c>
    </row>
    <row r="26" spans="1:3">
      <c r="A26" s="2">
        <v>43738</v>
      </c>
      <c r="B26" s="9">
        <v>50.905229566544996</v>
      </c>
      <c r="C26" s="9">
        <v>49.499286647465574</v>
      </c>
    </row>
    <row r="27" spans="1:3">
      <c r="A27" s="2">
        <v>43830</v>
      </c>
      <c r="B27" s="9">
        <v>50.90421980520469</v>
      </c>
      <c r="C27" s="9">
        <v>49.413045056197049</v>
      </c>
    </row>
    <row r="28" spans="1:3">
      <c r="A28" s="2">
        <v>43921</v>
      </c>
      <c r="B28" s="9">
        <v>56.441508187017597</v>
      </c>
      <c r="C28" s="9">
        <v>51.763308066468227</v>
      </c>
    </row>
    <row r="29" spans="1:3">
      <c r="A29" s="2">
        <v>44012</v>
      </c>
      <c r="B29" s="9">
        <v>54.532470033616235</v>
      </c>
      <c r="C29" s="9">
        <v>53.195856898095869</v>
      </c>
    </row>
    <row r="30" spans="1:3">
      <c r="B30" s="9"/>
      <c r="C30" s="9"/>
    </row>
    <row r="31" spans="1:3">
      <c r="B31" s="9"/>
      <c r="C31" s="9"/>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33</vt:i4>
      </vt:variant>
      <vt:variant>
        <vt:lpstr>Diagram</vt:lpstr>
      </vt:variant>
      <vt:variant>
        <vt:i4>33</vt:i4>
      </vt:variant>
    </vt:vector>
  </HeadingPairs>
  <TitlesOfParts>
    <vt:vector size="66" baseType="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D1.</vt:lpstr>
      <vt:lpstr>D2.</vt:lpstr>
      <vt:lpstr>D3.</vt:lpstr>
      <vt:lpstr>D4.</vt:lpstr>
      <vt:lpstr>D5.</vt:lpstr>
      <vt:lpstr>D6.</vt:lpstr>
      <vt:lpstr>D7.</vt:lpstr>
      <vt:lpstr>D8.</vt:lpstr>
      <vt:lpstr>D9.</vt:lpstr>
      <vt:lpstr>D10.</vt:lpstr>
      <vt:lpstr>D11.</vt:lpstr>
      <vt:lpstr>D12.</vt:lpstr>
      <vt:lpstr>D13.</vt:lpstr>
      <vt:lpstr>D14.</vt:lpstr>
      <vt:lpstr>D15.</vt:lpstr>
      <vt:lpstr>D16.</vt:lpstr>
      <vt:lpstr>D17.</vt:lpstr>
      <vt:lpstr>D18.</vt:lpstr>
      <vt:lpstr>D19.</vt:lpstr>
      <vt:lpstr>D20.</vt:lpstr>
      <vt:lpstr>D21.</vt:lpstr>
      <vt:lpstr>D22.</vt:lpstr>
      <vt:lpstr>D23.</vt:lpstr>
      <vt:lpstr>D24.</vt:lpstr>
      <vt:lpstr>D25.</vt:lpstr>
      <vt:lpstr>D26.</vt:lpstr>
      <vt:lpstr>D27.</vt:lpstr>
      <vt:lpstr>D28.</vt:lpstr>
      <vt:lpstr>D29.</vt:lpstr>
      <vt:lpstr>D30.</vt:lpstr>
      <vt:lpstr>D31.</vt:lpstr>
      <vt:lpstr>D32.</vt:lpstr>
      <vt:lpstr>D33.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2020-11-12T07:22:33Z</dcterms:created>
  <dcterms:modified xsi:type="dcterms:W3CDTF">2020-11-12T07:24:15Z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{9EFCDE72-DABD-4B94-8396-D6D6FBAA4CBE}</vt:lpwstr>
  </property>
</Properties>
</file>